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43.bin" ContentType="application/vnd.ms-office.activeX"/>
  <Override PartName="/xl/activeX/activeX54.bin" ContentType="application/vnd.ms-office.activeX"/>
  <Override PartName="/xl/activeX/activeX88.xml" ContentType="application/vnd.ms-office.activeX+xml"/>
  <Override PartName="/xl/activeX/activeX90.bin" ContentType="application/vnd.ms-office.activeX"/>
  <Override PartName="/xl/activeX/activeX114.bin" ContentType="application/vnd.ms-office.activeX"/>
  <Override PartName="/xl/styles.xml" ContentType="application/vnd.openxmlformats-officedocument.spreadsheetml.styles+xml"/>
  <Override PartName="/xl/activeX/activeX19.xml" ContentType="application/vnd.ms-office.activeX+xml"/>
  <Override PartName="/xl/activeX/activeX32.bin" ContentType="application/vnd.ms-office.activeX"/>
  <Override PartName="/xl/activeX/activeX66.xml" ContentType="application/vnd.ms-office.activeX+xml"/>
  <Override PartName="/xl/activeX/activeX77.xml" ContentType="application/vnd.ms-office.activeX+xml"/>
  <Override PartName="/xl/activeX/activeX103.bin" ContentType="application/vnd.ms-office.activeX"/>
  <Override PartName="/xl/activeX/activeX5.xml" ContentType="application/vnd.ms-office.activeX+xml"/>
  <Override PartName="/xl/activeX/activeX21.bin" ContentType="application/vnd.ms-office.activeX"/>
  <Override PartName="/xl/activeX/activeX55.xml" ContentType="application/vnd.ms-office.activeX+xml"/>
  <Override PartName="/xl/activeX/activeX115.xml" ContentType="application/vnd.ms-office.activeX+xml"/>
  <Override PartName="/xl/activeX/activeX126.xml" ContentType="application/vnd.ms-office.activeX+xml"/>
  <Default Extension="xml" ContentType="application/xml"/>
  <Override PartName="/xl/activeX/activeX10.bin" ContentType="application/vnd.ms-office.activeX"/>
  <Override PartName="/xl/activeX/activeX44.xml" ContentType="application/vnd.ms-office.activeX+xml"/>
  <Override PartName="/xl/activeX/activeX91.xml" ContentType="application/vnd.ms-office.activeX+xml"/>
  <Override PartName="/xl/activeX/activeX104.xml" ContentType="application/vnd.ms-office.activeX+xml"/>
  <Override PartName="/xl/worksheets/sheet3.xml" ContentType="application/vnd.openxmlformats-officedocument.spreadsheetml.worksheet+xml"/>
  <Override PartName="/xl/activeX/activeX22.xml" ContentType="application/vnd.ms-office.activeX+xml"/>
  <Override PartName="/xl/activeX/activeX33.xml" ContentType="application/vnd.ms-office.activeX+xml"/>
  <Override PartName="/xl/activeX/activeX80.xml" ContentType="application/vnd.ms-office.activeX+xml"/>
  <Override PartName="/xl/activeX/activeX9.bin" ContentType="application/vnd.ms-office.activeX"/>
  <Override PartName="/xl/activeX/activeX11.xml" ContentType="application/vnd.ms-office.activeX+xml"/>
  <Override PartName="/xl/activeX/activeX59.bin" ContentType="application/vnd.ms-office.activeX"/>
  <Override PartName="/xl/activeX/activeX48.bin" ContentType="application/vnd.ms-office.activeX"/>
  <Override PartName="/xl/activeX/activeX95.bin" ContentType="application/vnd.ms-office.activeX"/>
  <Override PartName="/xl/activeX/activeX108.bin" ContentType="application/vnd.ms-office.activeX"/>
  <Override PartName="/xl/activeX/activeX119.bin" ContentType="application/vnd.ms-office.activeX"/>
  <Override PartName="/xl/activeX/activeX37.bin" ContentType="application/vnd.ms-office.activeX"/>
  <Override PartName="/xl/activeX/activeX84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62.bin" ContentType="application/vnd.ms-office.activeX"/>
  <Override PartName="/xl/activeX/activeX73.bin" ContentType="application/vnd.ms-office.activeX"/>
  <Override PartName="/xl/activeX/activeX1.bin" ContentType="application/vnd.ms-office.activeX"/>
  <Override PartName="/xl/activeX/activeX38.xml" ContentType="application/vnd.ms-office.activeX+xml"/>
  <Override PartName="/xl/activeX/activeX49.xml" ContentType="application/vnd.ms-office.activeX+xml"/>
  <Override PartName="/xl/activeX/activeX51.bin" ContentType="application/vnd.ms-office.activeX"/>
  <Override PartName="/xl/activeX/activeX85.xml" ContentType="application/vnd.ms-office.activeX+xml"/>
  <Override PartName="/xl/activeX/activeX96.xml" ContentType="application/vnd.ms-office.activeX+xml"/>
  <Override PartName="/xl/activeX/activeX109.xml" ContentType="application/vnd.ms-office.activeX+xml"/>
  <Override PartName="/xl/activeX/activeX111.bin" ContentType="application/vnd.ms-office.activeX"/>
  <Override PartName="/xl/activeX/activeX122.bin" ContentType="application/vnd.ms-office.activeX"/>
  <Default Extension="emf" ContentType="image/x-emf"/>
  <Override PartName="/xl/activeX/activeX27.xml" ContentType="application/vnd.ms-office.activeX+xml"/>
  <Override PartName="/xl/activeX/activeX40.bin" ContentType="application/vnd.ms-office.activeX"/>
  <Override PartName="/xl/activeX/activeX74.xml" ContentType="application/vnd.ms-office.activeX+xml"/>
  <Override PartName="/xl/activeX/activeX100.bin" ContentType="application/vnd.ms-office.activeX"/>
  <Override PartName="/xl/activeX/activeX2.xml" ContentType="application/vnd.ms-office.activeX+xml"/>
  <Override PartName="/xl/activeX/activeX16.xml" ContentType="application/vnd.ms-office.activeX+xml"/>
  <Override PartName="/xl/activeX/activeX63.xml" ContentType="application/vnd.ms-office.activeX+xml"/>
  <Override PartName="/xl/activeX/activeX123.xml" ContentType="application/vnd.ms-office.activeX+xml"/>
  <Override PartName="/docProps/app.xml" ContentType="application/vnd.openxmlformats-officedocument.extended-properties+xml"/>
  <Override PartName="/xl/activeX/activeX41.xml" ContentType="application/vnd.ms-office.activeX+xml"/>
  <Override PartName="/xl/activeX/activeX52.xml" ContentType="application/vnd.ms-office.activeX+xml"/>
  <Override PartName="/xl/activeX/activeX89.bin" ContentType="application/vnd.ms-office.activeX"/>
  <Override PartName="/xl/activeX/activeX112.xml" ContentType="application/vnd.ms-office.activeX+xml"/>
  <Override PartName="/xl/activeX/activeX30.xml" ContentType="application/vnd.ms-office.activeX+xml"/>
  <Override PartName="/xl/activeX/activeX78.bin" ContentType="application/vnd.ms-office.activeX"/>
  <Override PartName="/xl/activeX/activeX101.xml" ContentType="application/vnd.ms-office.activeX+xml"/>
  <Override PartName="/xl/calcChain.xml" ContentType="application/vnd.openxmlformats-officedocument.spreadsheetml.calcChain+xml"/>
  <Override PartName="/xl/activeX/activeX38.bin" ContentType="application/vnd.ms-office.activeX"/>
  <Override PartName="/xl/activeX/activeX49.bin" ContentType="application/vnd.ms-office.activeX"/>
  <Override PartName="/xl/activeX/activeX67.bin" ContentType="application/vnd.ms-office.activeX"/>
  <Override PartName="/xl/activeX/activeX85.bin" ContentType="application/vnd.ms-office.activeX"/>
  <Override PartName="/xl/activeX/activeX96.bin" ContentType="application/vnd.ms-office.activeX"/>
  <Override PartName="/xl/activeX/activeX109.bin" ContentType="application/vnd.ms-office.activeX"/>
  <Override PartName="/xl/activeX/activeX127.bin" ContentType="application/vnd.ms-office.activeX"/>
  <Override PartName="/xl/activeX/activeX6.bin" ContentType="application/vnd.ms-office.activeX"/>
  <Override PartName="/xl/activeX/activeX27.bin" ContentType="application/vnd.ms-office.activeX"/>
  <Override PartName="/xl/activeX/activeX45.bin" ContentType="application/vnd.ms-office.activeX"/>
  <Override PartName="/xl/activeX/activeX56.bin" ContentType="application/vnd.ms-office.activeX"/>
  <Override PartName="/xl/activeX/activeX74.bin" ContentType="application/vnd.ms-office.activeX"/>
  <Override PartName="/xl/activeX/activeX92.bin" ContentType="application/vnd.ms-office.activeX"/>
  <Override PartName="/xl/activeX/activeX116.bin" ContentType="application/vnd.ms-office.activeX"/>
  <Override PartName="/docProps/core.xml" ContentType="application/vnd.openxmlformats-package.core-properties+xml"/>
  <Override PartName="/xl/activeX/activeX2.bin" ContentType="application/vnd.ms-office.activeX"/>
  <Override PartName="/xl/activeX/activeX16.bin" ContentType="application/vnd.ms-office.activeX"/>
  <Override PartName="/xl/activeX/activeX34.bin" ContentType="application/vnd.ms-office.activeX"/>
  <Override PartName="/xl/activeX/activeX63.bin" ContentType="application/vnd.ms-office.activeX"/>
  <Override PartName="/xl/activeX/activeX68.xml" ContentType="application/vnd.ms-office.activeX+xml"/>
  <Override PartName="/xl/activeX/activeX79.xml" ContentType="application/vnd.ms-office.activeX+xml"/>
  <Override PartName="/xl/activeX/activeX81.bin" ContentType="application/vnd.ms-office.activeX"/>
  <Override PartName="/xl/activeX/activeX97.xml" ContentType="application/vnd.ms-office.activeX+xml"/>
  <Override PartName="/xl/activeX/activeX105.bin" ContentType="application/vnd.ms-office.activeX"/>
  <Override PartName="/xl/activeX/activeX123.bin" ContentType="application/vnd.ms-office.activeX"/>
  <Override PartName="/xl/theme/theme1.xml" ContentType="application/vnd.openxmlformats-officedocument.theme+xml"/>
  <Override PartName="/xl/activeX/activeX7.xml" ContentType="application/vnd.ms-office.activeX+xml"/>
  <Override PartName="/xl/activeX/activeX23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activeX/activeX52.bin" ContentType="application/vnd.ms-office.activeX"/>
  <Override PartName="/xl/activeX/activeX57.xml" ContentType="application/vnd.ms-office.activeX+xml"/>
  <Override PartName="/xl/activeX/activeX70.bin" ContentType="application/vnd.ms-office.activeX"/>
  <Override PartName="/xl/activeX/activeX86.xml" ContentType="application/vnd.ms-office.activeX+xml"/>
  <Override PartName="/xl/activeX/activeX112.bin" ContentType="application/vnd.ms-office.activeX"/>
  <Override PartName="/xl/activeX/activeX128.xml" ContentType="application/vnd.ms-office.activeX+xml"/>
  <Override PartName="/xl/activeX/activeX130.bin" ContentType="application/vnd.ms-office.activeX"/>
  <Override PartName="/xl/activeX/activeX12.bin" ContentType="application/vnd.ms-office.activeX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Override PartName="/xl/activeX/activeX46.xml" ContentType="application/vnd.ms-office.activeX+xml"/>
  <Override PartName="/xl/activeX/activeX64.xml" ContentType="application/vnd.ms-office.activeX+xml"/>
  <Override PartName="/xl/activeX/activeX75.xml" ContentType="application/vnd.ms-office.activeX+xml"/>
  <Override PartName="/xl/activeX/activeX93.xml" ContentType="application/vnd.ms-office.activeX+xml"/>
  <Override PartName="/xl/activeX/activeX101.bin" ContentType="application/vnd.ms-office.activeX"/>
  <Override PartName="/xl/activeX/activeX106.xml" ContentType="application/vnd.ms-office.activeX+xml"/>
  <Override PartName="/xl/activeX/activeX117.xml" ContentType="application/vnd.ms-office.activeX+xml"/>
  <Default Extension="rels" ContentType="application/vnd.openxmlformats-package.relationships+xml"/>
  <Override PartName="/xl/activeX/activeX3.xml" ContentType="application/vnd.ms-office.activeX+xml"/>
  <Override PartName="/xl/activeX/activeX24.xml" ContentType="application/vnd.ms-office.activeX+xml"/>
  <Override PartName="/xl/activeX/activeX35.xml" ContentType="application/vnd.ms-office.activeX+xml"/>
  <Override PartName="/xl/activeX/activeX53.xml" ContentType="application/vnd.ms-office.activeX+xml"/>
  <Override PartName="/xl/activeX/activeX82.xml" ContentType="application/vnd.ms-office.activeX+xml"/>
  <Override PartName="/xl/activeX/activeX113.xml" ContentType="application/vnd.ms-office.activeX+xml"/>
  <Override PartName="/xl/activeX/activeX124.xml" ContentType="application/vnd.ms-office.activeX+xml"/>
  <Override PartName="/xl/activeX/activeX13.xml" ContentType="application/vnd.ms-office.activeX+xml"/>
  <Override PartName="/xl/activeX/activeX42.xml" ContentType="application/vnd.ms-office.activeX+xml"/>
  <Override PartName="/xl/activeX/activeX60.xml" ContentType="application/vnd.ms-office.activeX+xml"/>
  <Override PartName="/xl/activeX/activeX71.xml" ContentType="application/vnd.ms-office.activeX+xml"/>
  <Override PartName="/xl/activeX/activeX102.xml" ContentType="application/vnd.ms-office.activeX+xml"/>
  <Override PartName="/xl/worksheets/sheet1.xml" ContentType="application/vnd.openxmlformats-officedocument.spreadsheetml.worksheet+xml"/>
  <Override PartName="/xl/activeX/activeX20.xml" ContentType="application/vnd.ms-office.activeX+xml"/>
  <Override PartName="/xl/activeX/activeX31.xml" ContentType="application/vnd.ms-office.activeX+xml"/>
  <Override PartName="/xl/activeX/activeX68.bin" ContentType="application/vnd.ms-office.activeX"/>
  <Override PartName="/xl/activeX/activeX79.bin" ContentType="application/vnd.ms-office.activeX"/>
  <Override PartName="/xl/activeX/activeX97.bin" ContentType="application/vnd.ms-office.activeX"/>
  <Override PartName="/xl/activeX/activeX120.xml" ContentType="application/vnd.ms-office.activeX+xml"/>
  <Override PartName="/xl/activeX/activeX7.bin" ContentType="application/vnd.ms-office.activeX"/>
  <Override PartName="/xl/activeX/activeX39.bin" ContentType="application/vnd.ms-office.activeX"/>
  <Override PartName="/xl/activeX/activeX57.bin" ContentType="application/vnd.ms-office.activeX"/>
  <Override PartName="/xl/activeX/activeX86.bin" ContentType="application/vnd.ms-office.activeX"/>
  <Override PartName="/xl/activeX/activeX128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46.bin" ContentType="application/vnd.ms-office.activeX"/>
  <Override PartName="/xl/activeX/activeX64.bin" ContentType="application/vnd.ms-office.activeX"/>
  <Override PartName="/xl/activeX/activeX75.bin" ContentType="application/vnd.ms-office.activeX"/>
  <Override PartName="/xl/activeX/activeX93.bin" ContentType="application/vnd.ms-office.activeX"/>
  <Override PartName="/xl/activeX/activeX106.bin" ContentType="application/vnd.ms-office.activeX"/>
  <Override PartName="/xl/activeX/activeX117.bin" ContentType="application/vnd.ms-office.activeX"/>
  <Override PartName="/xl/activeX/activeX3.bin" ContentType="application/vnd.ms-office.activeX"/>
  <Override PartName="/xl/activeX/activeX35.bin" ContentType="application/vnd.ms-office.activeX"/>
  <Override PartName="/xl/activeX/activeX53.bin" ContentType="application/vnd.ms-office.activeX"/>
  <Override PartName="/xl/activeX/activeX69.xml" ContentType="application/vnd.ms-office.activeX+xml"/>
  <Override PartName="/xl/activeX/activeX82.bin" ContentType="application/vnd.ms-office.activeX"/>
  <Override PartName="/xl/activeX/activeX87.xml" ContentType="application/vnd.ms-office.activeX+xml"/>
  <Override PartName="/xl/activeX/activeX98.xml" ContentType="application/vnd.ms-office.activeX+xml"/>
  <Override PartName="/xl/activeX/activeX113.bin" ContentType="application/vnd.ms-office.activeX"/>
  <Override PartName="/xl/activeX/activeX124.bin" ContentType="application/vnd.ms-office.activeX"/>
  <Override PartName="/xl/activeX/activeX129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42.bin" ContentType="application/vnd.ms-office.activeX"/>
  <Override PartName="/xl/activeX/activeX47.xml" ContentType="application/vnd.ms-office.activeX+xml"/>
  <Override PartName="/xl/activeX/activeX58.xml" ContentType="application/vnd.ms-office.activeX+xml"/>
  <Override PartName="/xl/activeX/activeX60.bin" ContentType="application/vnd.ms-office.activeX"/>
  <Override PartName="/xl/activeX/activeX71.bin" ContentType="application/vnd.ms-office.activeX"/>
  <Override PartName="/xl/activeX/activeX76.xml" ContentType="application/vnd.ms-office.activeX+xml"/>
  <Override PartName="/xl/activeX/activeX102.bin" ContentType="application/vnd.ms-office.activeX"/>
  <Override PartName="/xl/activeX/activeX118.xml" ContentType="application/vnd.ms-office.activeX+xml"/>
  <Override PartName="/xl/activeX/activeX18.xml" ContentType="application/vnd.ms-office.activeX+xml"/>
  <Override PartName="/xl/activeX/activeX20.bin" ContentType="application/vnd.ms-office.activeX"/>
  <Override PartName="/xl/activeX/activeX31.bin" ContentType="application/vnd.ms-office.activeX"/>
  <Override PartName="/xl/activeX/activeX36.xml" ContentType="application/vnd.ms-office.activeX+xml"/>
  <Override PartName="/xl/activeX/activeX65.xml" ContentType="application/vnd.ms-office.activeX+xml"/>
  <Override PartName="/xl/activeX/activeX83.xml" ContentType="application/vnd.ms-office.activeX+xml"/>
  <Override PartName="/xl/activeX/activeX94.xml" ContentType="application/vnd.ms-office.activeX+xml"/>
  <Override PartName="/xl/activeX/activeX107.xml" ContentType="application/vnd.ms-office.activeX+xml"/>
  <Override PartName="/xl/activeX/activeX120.bin" ContentType="application/vnd.ms-office.activeX"/>
  <Override PartName="/xl/activeX/activeX125.xml" ContentType="application/vnd.ms-office.activeX+xml"/>
  <Override PartName="/xl/activeX/activeX4.xml" ContentType="application/vnd.ms-office.activeX+xml"/>
  <Override PartName="/xl/activeX/activeX25.xml" ContentType="application/vnd.ms-office.activeX+xml"/>
  <Override PartName="/xl/activeX/activeX43.xml" ContentType="application/vnd.ms-office.activeX+xml"/>
  <Override PartName="/xl/activeX/activeX54.xml" ContentType="application/vnd.ms-office.activeX+xml"/>
  <Override PartName="/xl/activeX/activeX72.xml" ContentType="application/vnd.ms-office.activeX+xml"/>
  <Override PartName="/xl/activeX/activeX90.xml" ContentType="application/vnd.ms-office.activeX+xml"/>
  <Override PartName="/xl/activeX/activeX114.xml" ContentType="application/vnd.ms-office.activeX+xml"/>
  <Override PartName="/xl/worksheets/sheet2.xml" ContentType="application/vnd.openxmlformats-officedocument.spreadsheetml.worksheet+xml"/>
  <Override PartName="/xl/activeX/activeX14.xml" ContentType="application/vnd.ms-office.activeX+xml"/>
  <Override PartName="/xl/activeX/activeX32.xml" ContentType="application/vnd.ms-office.activeX+xml"/>
  <Override PartName="/xl/activeX/activeX61.xml" ContentType="application/vnd.ms-office.activeX+xml"/>
  <Override PartName="/xl/activeX/activeX103.xml" ContentType="application/vnd.ms-office.activeX+xml"/>
  <Override PartName="/xl/activeX/activeX121.xml" ContentType="application/vnd.ms-office.activeX+xml"/>
  <Override PartName="/xl/activeX/activeX21.xml" ContentType="application/vnd.ms-office.activeX+xml"/>
  <Override PartName="/xl/activeX/activeX50.xml" ContentType="application/vnd.ms-office.activeX+xml"/>
  <Override PartName="/xl/activeX/activeX69.bin" ContentType="application/vnd.ms-office.activeX"/>
  <Override PartName="/xl/activeX/activeX87.bin" ContentType="application/vnd.ms-office.activeX"/>
  <Override PartName="/xl/activeX/activeX98.bin" ContentType="application/vnd.ms-office.activeX"/>
  <Override PartName="/xl/activeX/activeX110.xml" ContentType="application/vnd.ms-office.activeX+xml"/>
  <Override PartName="/xl/activeX/activeX129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  <Override PartName="/xl/activeX/activeX58.bin" ContentType="application/vnd.ms-office.activeX"/>
  <Override PartName="/xl/activeX/activeX76.bin" ContentType="application/vnd.ms-office.activeX"/>
  <Override PartName="/xl/activeX/activeX118.bin" ContentType="application/vnd.ms-office.activeX"/>
  <Override PartName="/xl/activeX/activeX18.bin" ContentType="application/vnd.ms-office.activeX"/>
  <Override PartName="/xl/activeX/activeX36.bin" ContentType="application/vnd.ms-office.activeX"/>
  <Override PartName="/xl/activeX/activeX47.bin" ContentType="application/vnd.ms-office.activeX"/>
  <Override PartName="/xl/activeX/activeX65.bin" ContentType="application/vnd.ms-office.activeX"/>
  <Override PartName="/xl/activeX/activeX83.bin" ContentType="application/vnd.ms-office.activeX"/>
  <Override PartName="/xl/activeX/activeX94.bin" ContentType="application/vnd.ms-office.activeX"/>
  <Override PartName="/xl/activeX/activeX99.xml" ContentType="application/vnd.ms-office.activeX+xml"/>
  <Override PartName="/xl/activeX/activeX107.bin" ContentType="application/vnd.ms-office.activeX"/>
  <Override PartName="/xl/activeX/activeX125.bin" ContentType="application/vnd.ms-office.activeX"/>
  <Override PartName="/xl/activeX/activeX9.xml" ContentType="application/vnd.ms-office.activeX+xml"/>
  <Override PartName="/xl/activeX/activeX25.bin" ContentType="application/vnd.ms-office.activeX"/>
  <Override PartName="/xl/activeX/activeX59.xml" ContentType="application/vnd.ms-office.activeX+xml"/>
  <Override PartName="/xl/activeX/activeX72.bin" ContentType="application/vnd.ms-office.activeX"/>
  <Override PartName="/xl/activeX/activeX14.bin" ContentType="application/vnd.ms-office.activeX"/>
  <Override PartName="/xl/activeX/activeX48.xml" ContentType="application/vnd.ms-office.activeX+xml"/>
  <Override PartName="/xl/activeX/activeX61.bin" ContentType="application/vnd.ms-office.activeX"/>
  <Override PartName="/xl/activeX/activeX95.xml" ContentType="application/vnd.ms-office.activeX+xml"/>
  <Override PartName="/xl/activeX/activeX108.xml" ContentType="application/vnd.ms-office.activeX+xml"/>
  <Override PartName="/xl/activeX/activeX119.xml" ContentType="application/vnd.ms-office.activeX+xml"/>
  <Override PartName="/xl/activeX/activeX121.bin" ContentType="application/vnd.ms-office.activeX"/>
  <Override PartName="/xl/activeX/activeX37.xml" ContentType="application/vnd.ms-office.activeX+xml"/>
  <Override PartName="/xl/activeX/activeX50.bin" ContentType="application/vnd.ms-office.activeX"/>
  <Override PartName="/xl/activeX/activeX84.xml" ContentType="application/vnd.ms-office.activeX+xml"/>
  <Override PartName="/xl/activeX/activeX110.bin" ContentType="application/vnd.ms-office.activeX"/>
  <Override PartName="/xl/activeX/activeX15.xml" ContentType="application/vnd.ms-office.activeX+xml"/>
  <Override PartName="/xl/activeX/activeX26.xml" ContentType="application/vnd.ms-office.activeX+xml"/>
  <Override PartName="/xl/activeX/activeX62.xml" ContentType="application/vnd.ms-office.activeX+xml"/>
  <Override PartName="/xl/activeX/activeX73.xml" ContentType="application/vnd.ms-office.activeX+xml"/>
  <Override PartName="/xl/activeX/activeX1.xml" ContentType="application/vnd.ms-office.activeX+xml"/>
  <Override PartName="/xl/activeX/activeX51.xml" ContentType="application/vnd.ms-office.activeX+xml"/>
  <Override PartName="/xl/activeX/activeX99.bin" ContentType="application/vnd.ms-office.activeX"/>
  <Override PartName="/xl/activeX/activeX111.xml" ContentType="application/vnd.ms-office.activeX+xml"/>
  <Override PartName="/xl/activeX/activeX122.xml" ContentType="application/vnd.ms-office.activeX+xml"/>
  <Override PartName="/xl/activeX/activeX40.xml" ContentType="application/vnd.ms-office.activeX+xml"/>
  <Override PartName="/xl/activeX/activeX88.bin" ContentType="application/vnd.ms-office.activeX"/>
  <Override PartName="/xl/activeX/activeX100.xml" ContentType="application/vnd.ms-office.activeX+xml"/>
  <Override PartName="/xl/sharedStrings.xml" ContentType="application/vnd.openxmlformats-officedocument.spreadsheetml.sharedStrings+xml"/>
  <Override PartName="/xl/activeX/activeX19.bin" ContentType="application/vnd.ms-office.activeX"/>
  <Override PartName="/xl/activeX/activeX66.bin" ContentType="application/vnd.ms-office.activeX"/>
  <Override PartName="/xl/activeX/activeX77.bin" ContentType="application/vnd.ms-office.activeX"/>
  <Override PartName="/xl/activeX/activeX5.bin" ContentType="application/vnd.ms-office.activeX"/>
  <Override PartName="/xl/activeX/activeX55.bin" ContentType="application/vnd.ms-office.activeX"/>
  <Override PartName="/xl/activeX/activeX89.xml" ContentType="application/vnd.ms-office.activeX+xml"/>
  <Override PartName="/xl/activeX/activeX115.bin" ContentType="application/vnd.ms-office.activeX"/>
  <Override PartName="/xl/activeX/activeX126.bin" ContentType="application/vnd.ms-office.activeX"/>
  <Default Extension="bin" ContentType="application/vnd.openxmlformats-officedocument.spreadsheetml.printerSettings"/>
  <Override PartName="/xl/activeX/activeX44.bin" ContentType="application/vnd.ms-office.activeX"/>
  <Override PartName="/xl/activeX/activeX78.xml" ContentType="application/vnd.ms-office.activeX+xml"/>
  <Override PartName="/xl/activeX/activeX91.bin" ContentType="application/vnd.ms-office.activeX"/>
  <Override PartName="/xl/activeX/activeX104.bin" ContentType="application/vnd.ms-office.activeX"/>
  <Override PartName="/xl/activeX/activeX22.bin" ContentType="application/vnd.ms-office.activeX"/>
  <Override PartName="/xl/activeX/activeX33.bin" ContentType="application/vnd.ms-office.activeX"/>
  <Override PartName="/xl/activeX/activeX67.xml" ContentType="application/vnd.ms-office.activeX+xml"/>
  <Override PartName="/xl/activeX/activeX80.bin" ContentType="application/vnd.ms-office.activeX"/>
  <Override PartName="/xl/activeX/activeX127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45.xml" ContentType="application/vnd.ms-office.activeX+xml"/>
  <Override PartName="/xl/activeX/activeX56.xml" ContentType="application/vnd.ms-office.activeX+xml"/>
  <Override PartName="/xl/activeX/activeX92.xml" ContentType="application/vnd.ms-office.activeX+xml"/>
  <Override PartName="/xl/activeX/activeX116.xml" ContentType="application/vnd.ms-office.activeX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activeX/activeX34.xml" ContentType="application/vnd.ms-office.activeX+xml"/>
  <Override PartName="/xl/activeX/activeX81.xml" ContentType="application/vnd.ms-office.activeX+xml"/>
  <Override PartName="/xl/activeX/activeX105.xml" ContentType="application/vnd.ms-office.activeX+xml"/>
  <Override PartName="/xl/activeX/activeX23.xml" ContentType="application/vnd.ms-office.activeX+xml"/>
  <Override PartName="/xl/activeX/activeX70.xml" ContentType="application/vnd.ms-office.activeX+xml"/>
  <Override PartName="/xl/activeX/activeX130.xml" ContentType="application/vnd.ms-office.activeX+xml"/>
  <Default Extension="vml" ContentType="application/vnd.openxmlformats-officedocument.vmlDrawing"/>
  <Override PartName="/xl/activeX/activeX12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-45" windowWidth="19320" windowHeight="12690"/>
  </bookViews>
  <sheets>
    <sheet name="Калькулятор" sheetId="1" r:id="rId1"/>
    <sheet name="Калькулятор (2)" sheetId="6" state="hidden" r:id="rId2"/>
    <sheet name="Данные для расчета" sheetId="5" r:id="rId3"/>
    <sheet name="Данные для расчета (2)" sheetId="7" state="hidden" r:id="rId4"/>
  </sheets>
  <definedNames>
    <definedName name="ВЛ" localSheetId="3">#REF!</definedName>
    <definedName name="ВЛ" localSheetId="1">#REF!</definedName>
    <definedName name="ВЛ">#REF!</definedName>
    <definedName name="Длина" localSheetId="3">#REF!</definedName>
    <definedName name="Длина" localSheetId="1">#REF!</definedName>
    <definedName name="Длина">#REF!</definedName>
    <definedName name="Длина1" localSheetId="3">Калькулятор!#REF!</definedName>
    <definedName name="Длина1" localSheetId="1">'Калькулятор (2)'!#REF!</definedName>
    <definedName name="Длина1">Калькулятор!#REF!</definedName>
    <definedName name="Количество" localSheetId="3">#REF!</definedName>
    <definedName name="Количество" localSheetId="1">#REF!</definedName>
    <definedName name="Количество">#REF!</definedName>
    <definedName name="Количество1" localSheetId="3">#REF!</definedName>
    <definedName name="Количество1" localSheetId="1">#REF!</definedName>
    <definedName name="Количество1">#REF!</definedName>
    <definedName name="_xlnm.Print_Area" localSheetId="0">Калькулятор!$B$1:$J$110</definedName>
    <definedName name="_xlnm.Print_Area" localSheetId="1">'Калькулятор (2)'!$B$1:$J$110</definedName>
    <definedName name="Опоры" localSheetId="3">#REF!</definedName>
    <definedName name="Опоры" localSheetId="1">#REF!</definedName>
    <definedName name="Опоры">#REF!</definedName>
    <definedName name="Провод1" localSheetId="3">Калькулятор!#REF!</definedName>
    <definedName name="Провод1" localSheetId="1">'Калькулятор (2)'!#REF!</definedName>
    <definedName name="Провод1">Калькулятор!#REF!</definedName>
    <definedName name="Провода" localSheetId="3">#REF!</definedName>
    <definedName name="Провода" localSheetId="1">#REF!</definedName>
    <definedName name="Провода">#REF!</definedName>
    <definedName name="СокрПровод" localSheetId="3">#REF!</definedName>
    <definedName name="СокрПровод" localSheetId="1">#REF!</definedName>
    <definedName name="СокрПровод">#REF!</definedName>
    <definedName name="Тарифы" localSheetId="3">'Данные для расчета (2)'!$J$14:$J$139</definedName>
    <definedName name="Тарифы">'Данные для расчета'!$J$14:$J$139</definedName>
    <definedName name="Тарифы2" localSheetId="3">'Данные для расчета (2)'!$K$11:$K$139</definedName>
    <definedName name="Тарифы2">'Данные для расчета'!$K$11:$K$139</definedName>
    <definedName name="Товары" localSheetId="3">'Данные для расчета (2)'!$B$11:$B$139</definedName>
    <definedName name="Товары">'Данные для расчета'!$B$11:$B$139</definedName>
    <definedName name="Товары11" localSheetId="3">'Данные для расчета (2)'!$F$11:$F$139</definedName>
    <definedName name="Товары11">'Данные для расчета'!$F$11:$F$139</definedName>
    <definedName name="Товары12" localSheetId="3">'Данные для расчета (2)'!$G$11:$G$139</definedName>
    <definedName name="Товары12">'Данные для расчета'!$G$11:$G$139</definedName>
    <definedName name="ЦенаВывод" localSheetId="3">'Данные для расчета (2)'!$L$11:$L$139</definedName>
    <definedName name="ЦенаВывод">'Данные для расчета'!$L$11:$L$139</definedName>
    <definedName name="Цены" localSheetId="3">'Данные для расчета (2)'!$H$11:$H$139</definedName>
    <definedName name="Цены">'Данные для расчета'!$H$11:$H$139</definedName>
    <definedName name="Цены1" localSheetId="3">'Данные для расчета (2)'!$L$11:$L$139</definedName>
    <definedName name="Цены1">'Данные для расчета'!$L$11:$L$139</definedName>
    <definedName name="ЦеныКол" localSheetId="3">'Данные для расчета (2)'!$L$11:$L$139</definedName>
    <definedName name="ЦеныКол">'Данные для расчета'!$L$11:$L$139</definedName>
  </definedNames>
  <calcPr calcId="125725"/>
</workbook>
</file>

<file path=xl/calcChain.xml><?xml version="1.0" encoding="utf-8"?>
<calcChain xmlns="http://schemas.openxmlformats.org/spreadsheetml/2006/main">
  <c r="K139" i="7"/>
  <c r="H139"/>
  <c r="L139" s="1"/>
  <c r="K137"/>
  <c r="H137"/>
  <c r="L137" s="1"/>
  <c r="K136"/>
  <c r="H136"/>
  <c r="L136" s="1"/>
  <c r="K135"/>
  <c r="H135"/>
  <c r="L135" s="1"/>
  <c r="K133"/>
  <c r="H133"/>
  <c r="L133" s="1"/>
  <c r="K132"/>
  <c r="H132"/>
  <c r="L132" s="1"/>
  <c r="K131"/>
  <c r="H131"/>
  <c r="L131" s="1"/>
  <c r="K130"/>
  <c r="H130"/>
  <c r="L130" s="1"/>
  <c r="K129"/>
  <c r="H129"/>
  <c r="L129" s="1"/>
  <c r="L128"/>
  <c r="K127"/>
  <c r="H127"/>
  <c r="L127" s="1"/>
  <c r="K126"/>
  <c r="H126"/>
  <c r="L126" s="1"/>
  <c r="K125"/>
  <c r="H125"/>
  <c r="L125" s="1"/>
  <c r="K124"/>
  <c r="H124"/>
  <c r="L124" s="1"/>
  <c r="K123"/>
  <c r="H123"/>
  <c r="L123" s="1"/>
  <c r="K122"/>
  <c r="H122"/>
  <c r="L122" s="1"/>
  <c r="K121"/>
  <c r="H121"/>
  <c r="L121" s="1"/>
  <c r="K120"/>
  <c r="H120"/>
  <c r="L120" s="1"/>
  <c r="K119"/>
  <c r="H119"/>
  <c r="L119" s="1"/>
  <c r="L118"/>
  <c r="K117"/>
  <c r="H117"/>
  <c r="L117" s="1"/>
  <c r="K116"/>
  <c r="H116"/>
  <c r="L116" s="1"/>
  <c r="K115"/>
  <c r="H115"/>
  <c r="L115" s="1"/>
  <c r="K114"/>
  <c r="H114"/>
  <c r="L114" s="1"/>
  <c r="K113"/>
  <c r="H113"/>
  <c r="L113" s="1"/>
  <c r="K112"/>
  <c r="H112"/>
  <c r="L112" s="1"/>
  <c r="K111"/>
  <c r="H111"/>
  <c r="L111" s="1"/>
  <c r="K110"/>
  <c r="H110"/>
  <c r="L110" s="1"/>
  <c r="L109"/>
  <c r="K108"/>
  <c r="H108"/>
  <c r="L108" s="1"/>
  <c r="K107"/>
  <c r="H107"/>
  <c r="L107" s="1"/>
  <c r="K106"/>
  <c r="H106"/>
  <c r="L106" s="1"/>
  <c r="K105"/>
  <c r="H105"/>
  <c r="L105" s="1"/>
  <c r="K104"/>
  <c r="H104"/>
  <c r="L104" s="1"/>
  <c r="L103"/>
  <c r="K102"/>
  <c r="H102"/>
  <c r="L102" s="1"/>
  <c r="K101"/>
  <c r="H101"/>
  <c r="L101" s="1"/>
  <c r="K100"/>
  <c r="H100"/>
  <c r="L100" s="1"/>
  <c r="K99"/>
  <c r="H99"/>
  <c r="L99" s="1"/>
  <c r="K98"/>
  <c r="H98"/>
  <c r="L98" s="1"/>
  <c r="L97"/>
  <c r="K96"/>
  <c r="H96"/>
  <c r="L96" s="1"/>
  <c r="K95"/>
  <c r="H95"/>
  <c r="L95" s="1"/>
  <c r="K94"/>
  <c r="H94"/>
  <c r="L94" s="1"/>
  <c r="K93"/>
  <c r="H93"/>
  <c r="L93" s="1"/>
  <c r="K92"/>
  <c r="H92"/>
  <c r="L92" s="1"/>
  <c r="K91"/>
  <c r="H91"/>
  <c r="L91" s="1"/>
  <c r="K90"/>
  <c r="H90"/>
  <c r="L90" s="1"/>
  <c r="K89"/>
  <c r="H89"/>
  <c r="L89" s="1"/>
  <c r="K88"/>
  <c r="H88"/>
  <c r="L88" s="1"/>
  <c r="K87"/>
  <c r="H87"/>
  <c r="L87" s="1"/>
  <c r="K86"/>
  <c r="H86"/>
  <c r="L86" s="1"/>
  <c r="L85"/>
  <c r="K84"/>
  <c r="H84"/>
  <c r="L84" s="1"/>
  <c r="K83"/>
  <c r="H83"/>
  <c r="L83" s="1"/>
  <c r="K82"/>
  <c r="H82"/>
  <c r="L82" s="1"/>
  <c r="K81"/>
  <c r="H81"/>
  <c r="L81" s="1"/>
  <c r="K80"/>
  <c r="H80"/>
  <c r="L80" s="1"/>
  <c r="K79"/>
  <c r="H79"/>
  <c r="L79" s="1"/>
  <c r="K78"/>
  <c r="H78"/>
  <c r="L78" s="1"/>
  <c r="K77"/>
  <c r="H77"/>
  <c r="L77" s="1"/>
  <c r="K76"/>
  <c r="H76"/>
  <c r="L76" s="1"/>
  <c r="K75"/>
  <c r="H75"/>
  <c r="L75" s="1"/>
  <c r="K74"/>
  <c r="H74"/>
  <c r="L74" s="1"/>
  <c r="L73"/>
  <c r="Q70"/>
  <c r="L70"/>
  <c r="K70"/>
  <c r="M70" s="1"/>
  <c r="L69"/>
  <c r="L68"/>
  <c r="K68"/>
  <c r="M68" s="1"/>
  <c r="L67"/>
  <c r="K67"/>
  <c r="M67" s="1"/>
  <c r="L66"/>
  <c r="L65"/>
  <c r="K65"/>
  <c r="M65" s="1"/>
  <c r="L64"/>
  <c r="K64"/>
  <c r="M64" s="1"/>
  <c r="L63"/>
  <c r="K63"/>
  <c r="M63" s="1"/>
  <c r="L62"/>
  <c r="K62"/>
  <c r="M62" s="1"/>
  <c r="L61"/>
  <c r="K61"/>
  <c r="M61" s="1"/>
  <c r="L60"/>
  <c r="L59"/>
  <c r="Q58"/>
  <c r="L58"/>
  <c r="K58"/>
  <c r="M58" s="1"/>
  <c r="L57"/>
  <c r="L56"/>
  <c r="K56"/>
  <c r="M56" s="1"/>
  <c r="L55"/>
  <c r="K55"/>
  <c r="M55" s="1"/>
  <c r="L54"/>
  <c r="K54"/>
  <c r="M54" s="1"/>
  <c r="L53"/>
  <c r="K53"/>
  <c r="M53" s="1"/>
  <c r="L52"/>
  <c r="L51"/>
  <c r="K51"/>
  <c r="M51" s="1"/>
  <c r="L50"/>
  <c r="K50"/>
  <c r="M50" s="1"/>
  <c r="L49"/>
  <c r="K49"/>
  <c r="M49" s="1"/>
  <c r="L48"/>
  <c r="K48"/>
  <c r="M48" s="1"/>
  <c r="L47"/>
  <c r="L46"/>
  <c r="L44"/>
  <c r="L43"/>
  <c r="K43"/>
  <c r="M43" s="1"/>
  <c r="L42"/>
  <c r="K42"/>
  <c r="M42" s="1"/>
  <c r="L41"/>
  <c r="K41"/>
  <c r="M41" s="1"/>
  <c r="L40"/>
  <c r="L39"/>
  <c r="K39"/>
  <c r="M39" s="1"/>
  <c r="L38"/>
  <c r="K38"/>
  <c r="M38" s="1"/>
  <c r="L37"/>
  <c r="K37"/>
  <c r="M37" s="1"/>
  <c r="L36"/>
  <c r="K36"/>
  <c r="M36" s="1"/>
  <c r="L35"/>
  <c r="L34"/>
  <c r="K34"/>
  <c r="M34" s="1"/>
  <c r="L33"/>
  <c r="K33"/>
  <c r="M33" s="1"/>
  <c r="L32"/>
  <c r="K32"/>
  <c r="M32" s="1"/>
  <c r="L31"/>
  <c r="K31"/>
  <c r="M31" s="1"/>
  <c r="L30"/>
  <c r="L28"/>
  <c r="K28"/>
  <c r="M28" s="1"/>
  <c r="L27"/>
  <c r="K27"/>
  <c r="M27" s="1"/>
  <c r="L26"/>
  <c r="K26"/>
  <c r="M26" s="1"/>
  <c r="L25"/>
  <c r="L24"/>
  <c r="K24"/>
  <c r="M24" s="1"/>
  <c r="L23"/>
  <c r="K23"/>
  <c r="M23" s="1"/>
  <c r="L22"/>
  <c r="K22"/>
  <c r="M22" s="1"/>
  <c r="L21"/>
  <c r="K21"/>
  <c r="M21" s="1"/>
  <c r="L20"/>
  <c r="K20"/>
  <c r="M20" s="1"/>
  <c r="L19"/>
  <c r="L18"/>
  <c r="K18"/>
  <c r="M18" s="1"/>
  <c r="L17"/>
  <c r="K17"/>
  <c r="M17" s="1"/>
  <c r="L16"/>
  <c r="K16"/>
  <c r="M16" s="1"/>
  <c r="L15"/>
  <c r="K15"/>
  <c r="M15" s="1"/>
  <c r="L14"/>
  <c r="K14"/>
  <c r="M14" s="1"/>
  <c r="V13"/>
  <c r="J93" i="6"/>
  <c r="I93"/>
  <c r="H93"/>
  <c r="G93"/>
  <c r="F93"/>
  <c r="E93"/>
  <c r="D93"/>
  <c r="J89"/>
  <c r="I89"/>
  <c r="G89"/>
  <c r="F89"/>
  <c r="E89"/>
  <c r="D89"/>
  <c r="E80"/>
  <c r="E65"/>
  <c r="H60"/>
  <c r="G60"/>
  <c r="F60"/>
  <c r="E60"/>
  <c r="AB27"/>
  <c r="B10"/>
  <c r="O7"/>
  <c r="C53" s="1"/>
  <c r="H76" i="5"/>
  <c r="T6" i="7" l="1"/>
  <c r="M92"/>
  <c r="M93"/>
  <c r="M94"/>
  <c r="M95"/>
  <c r="M96"/>
  <c r="M104"/>
  <c r="M105"/>
  <c r="M106"/>
  <c r="M107"/>
  <c r="M108"/>
  <c r="M119"/>
  <c r="M120"/>
  <c r="M121"/>
  <c r="M122"/>
  <c r="M123"/>
  <c r="M124"/>
  <c r="M125"/>
  <c r="M126"/>
  <c r="M127"/>
  <c r="T8"/>
  <c r="M74"/>
  <c r="M75"/>
  <c r="M76"/>
  <c r="M77"/>
  <c r="M78"/>
  <c r="M79"/>
  <c r="M80"/>
  <c r="M81"/>
  <c r="M82"/>
  <c r="M83"/>
  <c r="M84"/>
  <c r="M98"/>
  <c r="M99"/>
  <c r="M100"/>
  <c r="M101"/>
  <c r="M102"/>
  <c r="M110"/>
  <c r="M111"/>
  <c r="M112"/>
  <c r="M113"/>
  <c r="M114"/>
  <c r="M115"/>
  <c r="M116"/>
  <c r="M117"/>
  <c r="M129"/>
  <c r="M130"/>
  <c r="M131"/>
  <c r="M132"/>
  <c r="M133"/>
  <c r="M135"/>
  <c r="M136"/>
  <c r="M137"/>
  <c r="M139"/>
  <c r="M86"/>
  <c r="M87"/>
  <c r="M88"/>
  <c r="M90"/>
  <c r="M89"/>
  <c r="M91"/>
  <c r="Y2"/>
  <c r="T2"/>
  <c r="Y4"/>
  <c r="T4"/>
  <c r="T12"/>
  <c r="Y8"/>
  <c r="T14"/>
  <c r="Y10"/>
  <c r="E53" i="6"/>
  <c r="G53" s="1"/>
  <c r="H98" i="5"/>
  <c r="Y6" i="7" l="1"/>
  <c r="T10"/>
  <c r="L72" s="1"/>
  <c r="L138"/>
  <c r="V10"/>
  <c r="L134"/>
  <c r="V8"/>
  <c r="L45"/>
  <c r="V4"/>
  <c r="L11"/>
  <c r="V2"/>
  <c r="H139" i="5"/>
  <c r="V6" i="7" l="1"/>
  <c r="V12" s="1"/>
  <c r="H74" i="5"/>
  <c r="H137"/>
  <c r="H136"/>
  <c r="H135"/>
  <c r="H130"/>
  <c r="H131"/>
  <c r="H132"/>
  <c r="H133"/>
  <c r="H129"/>
  <c r="H120"/>
  <c r="H121"/>
  <c r="H122"/>
  <c r="H123"/>
  <c r="H124"/>
  <c r="H125"/>
  <c r="H126"/>
  <c r="H127"/>
  <c r="H119"/>
  <c r="H111"/>
  <c r="H112"/>
  <c r="H113"/>
  <c r="H114"/>
  <c r="H115"/>
  <c r="H116"/>
  <c r="H117"/>
  <c r="H110"/>
  <c r="H105"/>
  <c r="H106"/>
  <c r="H107"/>
  <c r="H108"/>
  <c r="H104"/>
  <c r="H99"/>
  <c r="H100"/>
  <c r="H101"/>
  <c r="H102"/>
  <c r="H75"/>
  <c r="H77"/>
  <c r="H78"/>
  <c r="H79"/>
  <c r="H80"/>
  <c r="H81"/>
  <c r="H82"/>
  <c r="H83"/>
  <c r="H84"/>
  <c r="H88"/>
  <c r="L88" s="1"/>
  <c r="H89"/>
  <c r="H90"/>
  <c r="H91"/>
  <c r="H92"/>
  <c r="H93"/>
  <c r="H94"/>
  <c r="H95"/>
  <c r="H96"/>
  <c r="H87"/>
  <c r="L87" s="1"/>
  <c r="H86"/>
  <c r="B18" i="6" l="1" a="1"/>
  <c r="B10" i="1"/>
  <c r="B44" i="6" l="1"/>
  <c r="B25"/>
  <c r="B43"/>
  <c r="B19"/>
  <c r="B27"/>
  <c r="B33"/>
  <c r="B37"/>
  <c r="B41"/>
  <c r="B20"/>
  <c r="B24"/>
  <c r="B28"/>
  <c r="B32"/>
  <c r="B36"/>
  <c r="B40"/>
  <c r="B21"/>
  <c r="B31"/>
  <c r="B23"/>
  <c r="B29"/>
  <c r="B35"/>
  <c r="B39"/>
  <c r="B18"/>
  <c r="B22"/>
  <c r="B26"/>
  <c r="B30"/>
  <c r="B34"/>
  <c r="B38"/>
  <c r="B42"/>
  <c r="H60" i="1"/>
  <c r="G60"/>
  <c r="F60"/>
  <c r="E60"/>
  <c r="B18" l="1" a="1"/>
  <c r="B19" s="1"/>
  <c r="L58" i="5"/>
  <c r="B18" i="1" l="1"/>
  <c r="B41"/>
  <c r="B38"/>
  <c r="B44"/>
  <c r="B30"/>
  <c r="B26"/>
  <c r="B34"/>
  <c r="B25"/>
  <c r="B42"/>
  <c r="B33"/>
  <c r="B22"/>
  <c r="B37"/>
  <c r="B29"/>
  <c r="B21"/>
  <c r="B40"/>
  <c r="B36"/>
  <c r="B32"/>
  <c r="B28"/>
  <c r="B24"/>
  <c r="B20"/>
  <c r="B43"/>
  <c r="B39"/>
  <c r="B35"/>
  <c r="B31"/>
  <c r="B27"/>
  <c r="B23"/>
  <c r="K139" i="5"/>
  <c r="K136"/>
  <c r="K137"/>
  <c r="K135"/>
  <c r="K130"/>
  <c r="K131"/>
  <c r="K132"/>
  <c r="K133"/>
  <c r="K129"/>
  <c r="K120"/>
  <c r="K121"/>
  <c r="K122"/>
  <c r="K123"/>
  <c r="K124"/>
  <c r="K125"/>
  <c r="K126"/>
  <c r="K127"/>
  <c r="K119"/>
  <c r="K116"/>
  <c r="K117"/>
  <c r="K111"/>
  <c r="K112"/>
  <c r="K113"/>
  <c r="K114"/>
  <c r="K115"/>
  <c r="K110"/>
  <c r="K105"/>
  <c r="K106"/>
  <c r="K107"/>
  <c r="K108"/>
  <c r="K104"/>
  <c r="K99"/>
  <c r="K100"/>
  <c r="K101"/>
  <c r="K102"/>
  <c r="K98"/>
  <c r="K95"/>
  <c r="K96"/>
  <c r="K87"/>
  <c r="K88"/>
  <c r="K89"/>
  <c r="K90"/>
  <c r="K91"/>
  <c r="K92"/>
  <c r="K93"/>
  <c r="K94"/>
  <c r="K86"/>
  <c r="K75"/>
  <c r="K76"/>
  <c r="K77"/>
  <c r="K78"/>
  <c r="K79"/>
  <c r="K80"/>
  <c r="K81"/>
  <c r="K82"/>
  <c r="K83"/>
  <c r="K84"/>
  <c r="K74"/>
  <c r="K70"/>
  <c r="K68"/>
  <c r="K67"/>
  <c r="K62"/>
  <c r="K63"/>
  <c r="K64"/>
  <c r="K65"/>
  <c r="K61"/>
  <c r="K58"/>
  <c r="K54"/>
  <c r="K55"/>
  <c r="K56"/>
  <c r="K53"/>
  <c r="K49"/>
  <c r="K50"/>
  <c r="K51"/>
  <c r="K48"/>
  <c r="K42"/>
  <c r="K43"/>
  <c r="K41"/>
  <c r="K37"/>
  <c r="K38"/>
  <c r="K39"/>
  <c r="K36"/>
  <c r="F18" i="6" s="1" a="1"/>
  <c r="K32" i="5"/>
  <c r="K33"/>
  <c r="K34"/>
  <c r="K31"/>
  <c r="K27"/>
  <c r="K28"/>
  <c r="K26"/>
  <c r="K21"/>
  <c r="K22"/>
  <c r="K23"/>
  <c r="K24"/>
  <c r="K20"/>
  <c r="K15"/>
  <c r="K16"/>
  <c r="K17"/>
  <c r="K18"/>
  <c r="K14"/>
  <c r="F44" i="6" l="1"/>
  <c r="F25"/>
  <c r="F33"/>
  <c r="F41"/>
  <c r="F22"/>
  <c r="F30"/>
  <c r="F38"/>
  <c r="F19"/>
  <c r="F27"/>
  <c r="F35"/>
  <c r="F43"/>
  <c r="F24"/>
  <c r="F32"/>
  <c r="F40"/>
  <c r="F21"/>
  <c r="F29"/>
  <c r="F37"/>
  <c r="F18"/>
  <c r="F26"/>
  <c r="F34"/>
  <c r="F42"/>
  <c r="F23"/>
  <c r="F31"/>
  <c r="F39"/>
  <c r="F20"/>
  <c r="F28"/>
  <c r="F36"/>
  <c r="E65" i="1"/>
  <c r="M18" i="5" l="1"/>
  <c r="M17"/>
  <c r="M16"/>
  <c r="M15"/>
  <c r="M14"/>
  <c r="M24"/>
  <c r="M23"/>
  <c r="M22"/>
  <c r="M21"/>
  <c r="M20"/>
  <c r="M28"/>
  <c r="M27"/>
  <c r="M26"/>
  <c r="M34"/>
  <c r="M33"/>
  <c r="M32"/>
  <c r="M31"/>
  <c r="M39"/>
  <c r="M38"/>
  <c r="M37"/>
  <c r="M36"/>
  <c r="M43"/>
  <c r="M42"/>
  <c r="M41"/>
  <c r="M51"/>
  <c r="M50"/>
  <c r="M49"/>
  <c r="M48"/>
  <c r="M56"/>
  <c r="M55"/>
  <c r="M54"/>
  <c r="M53"/>
  <c r="M58"/>
  <c r="M65"/>
  <c r="M64"/>
  <c r="M63"/>
  <c r="M62"/>
  <c r="M61"/>
  <c r="M68"/>
  <c r="M67"/>
  <c r="M70"/>
  <c r="M84"/>
  <c r="M83"/>
  <c r="M82"/>
  <c r="M81"/>
  <c r="M80"/>
  <c r="M79"/>
  <c r="M78"/>
  <c r="M77"/>
  <c r="M76"/>
  <c r="M75"/>
  <c r="M74"/>
  <c r="M96"/>
  <c r="M95"/>
  <c r="M94"/>
  <c r="M93"/>
  <c r="M92"/>
  <c r="M91"/>
  <c r="M90"/>
  <c r="M89"/>
  <c r="M88"/>
  <c r="M87"/>
  <c r="M86"/>
  <c r="M102"/>
  <c r="M101"/>
  <c r="M100"/>
  <c r="M99"/>
  <c r="M98"/>
  <c r="M108"/>
  <c r="M107"/>
  <c r="M106"/>
  <c r="M105"/>
  <c r="M104"/>
  <c r="M117"/>
  <c r="M116"/>
  <c r="M115"/>
  <c r="M114"/>
  <c r="M113"/>
  <c r="M112"/>
  <c r="M111"/>
  <c r="M110"/>
  <c r="M126"/>
  <c r="M125"/>
  <c r="M124"/>
  <c r="M123"/>
  <c r="M122"/>
  <c r="M121"/>
  <c r="M120"/>
  <c r="M119"/>
  <c r="M127"/>
  <c r="M129"/>
  <c r="M130"/>
  <c r="M131"/>
  <c r="M132"/>
  <c r="M133"/>
  <c r="M135"/>
  <c r="M136"/>
  <c r="M137"/>
  <c r="M139"/>
  <c r="T14" s="1"/>
  <c r="L14"/>
  <c r="L15"/>
  <c r="L16"/>
  <c r="L17"/>
  <c r="L18"/>
  <c r="L19"/>
  <c r="L20"/>
  <c r="L21"/>
  <c r="L22"/>
  <c r="L23"/>
  <c r="L24"/>
  <c r="L25"/>
  <c r="L26"/>
  <c r="L27"/>
  <c r="L28"/>
  <c r="L30"/>
  <c r="L31"/>
  <c r="L32"/>
  <c r="L33"/>
  <c r="L34"/>
  <c r="L35"/>
  <c r="L36"/>
  <c r="L37"/>
  <c r="L38"/>
  <c r="L39"/>
  <c r="L40"/>
  <c r="L41"/>
  <c r="L42"/>
  <c r="L43"/>
  <c r="L44"/>
  <c r="L46"/>
  <c r="L47"/>
  <c r="L48"/>
  <c r="L49"/>
  <c r="L50"/>
  <c r="L51"/>
  <c r="L52"/>
  <c r="L53"/>
  <c r="L54"/>
  <c r="L55"/>
  <c r="L56"/>
  <c r="L57"/>
  <c r="L59"/>
  <c r="L60"/>
  <c r="L61"/>
  <c r="L62"/>
  <c r="L63"/>
  <c r="L64"/>
  <c r="L65"/>
  <c r="L66"/>
  <c r="L67"/>
  <c r="L68"/>
  <c r="L69"/>
  <c r="L70"/>
  <c r="L73"/>
  <c r="L74"/>
  <c r="L75"/>
  <c r="L76"/>
  <c r="L77"/>
  <c r="L78"/>
  <c r="L79"/>
  <c r="L80"/>
  <c r="L81"/>
  <c r="L82"/>
  <c r="L83"/>
  <c r="L84"/>
  <c r="L85"/>
  <c r="L86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5"/>
  <c r="L136"/>
  <c r="L137"/>
  <c r="L139"/>
  <c r="T8" l="1"/>
  <c r="T6"/>
  <c r="T4"/>
  <c r="T12"/>
  <c r="T10"/>
  <c r="T2"/>
  <c r="F18" i="1" a="1"/>
  <c r="F18" s="1"/>
  <c r="AB27"/>
  <c r="E50" i="6" l="1"/>
  <c r="G50" s="1"/>
  <c r="E52" s="1"/>
  <c r="E50" i="1"/>
  <c r="Q70" i="5"/>
  <c r="Q58"/>
  <c r="F35" i="1"/>
  <c r="F24"/>
  <c r="F30"/>
  <c r="F40"/>
  <c r="F19"/>
  <c r="F44"/>
  <c r="F34"/>
  <c r="F23"/>
  <c r="F39"/>
  <c r="F28"/>
  <c r="F21"/>
  <c r="F25"/>
  <c r="F22"/>
  <c r="F38"/>
  <c r="F27"/>
  <c r="F43"/>
  <c r="F32"/>
  <c r="F37"/>
  <c r="F41"/>
  <c r="F26"/>
  <c r="F42"/>
  <c r="F31"/>
  <c r="F20"/>
  <c r="F36"/>
  <c r="F33"/>
  <c r="F29"/>
  <c r="E80"/>
  <c r="I50" i="6" l="1"/>
  <c r="V13" i="5"/>
  <c r="Y10" l="1"/>
  <c r="L72" l="1"/>
  <c r="Y6"/>
  <c r="Y8"/>
  <c r="L134"/>
  <c r="L45"/>
  <c r="Y4"/>
  <c r="L11"/>
  <c r="Y2"/>
  <c r="E18" i="6" l="1" a="1"/>
  <c r="E44" s="1"/>
  <c r="V10" i="5"/>
  <c r="L138"/>
  <c r="E36" i="6" l="1"/>
  <c r="E28"/>
  <c r="E20"/>
  <c r="E37"/>
  <c r="E29"/>
  <c r="E21"/>
  <c r="E38"/>
  <c r="E30"/>
  <c r="E22"/>
  <c r="E43"/>
  <c r="E35"/>
  <c r="E27"/>
  <c r="E19"/>
  <c r="E40"/>
  <c r="E32"/>
  <c r="E24"/>
  <c r="E41"/>
  <c r="E33"/>
  <c r="E25"/>
  <c r="E42"/>
  <c r="E34"/>
  <c r="E26"/>
  <c r="E18"/>
  <c r="E39"/>
  <c r="E31"/>
  <c r="E23"/>
  <c r="V4" i="5"/>
  <c r="V8"/>
  <c r="V6"/>
  <c r="J93" i="1" l="1"/>
  <c r="I93"/>
  <c r="H93"/>
  <c r="G93"/>
  <c r="F93"/>
  <c r="E93"/>
  <c r="D93"/>
  <c r="J89"/>
  <c r="I89"/>
  <c r="G89"/>
  <c r="F89"/>
  <c r="E89"/>
  <c r="D89"/>
  <c r="O7" l="1"/>
  <c r="C53" l="1"/>
  <c r="E53" l="1"/>
  <c r="G53" l="1"/>
  <c r="E18" l="1" a="1"/>
  <c r="V2" i="5"/>
  <c r="V12" s="1"/>
  <c r="G50" i="1" l="1"/>
  <c r="I50" s="1"/>
  <c r="E18"/>
  <c r="E28"/>
  <c r="E30"/>
  <c r="E25"/>
  <c r="E33"/>
  <c r="E35"/>
  <c r="E34"/>
  <c r="E41"/>
  <c r="E32"/>
  <c r="E42"/>
  <c r="E23"/>
  <c r="E37"/>
  <c r="E20"/>
  <c r="E21"/>
  <c r="E31"/>
  <c r="E22"/>
  <c r="E24"/>
  <c r="E36"/>
  <c r="E27"/>
  <c r="E29"/>
  <c r="E38"/>
  <c r="E40"/>
  <c r="E39"/>
  <c r="E43"/>
  <c r="E26"/>
  <c r="E44"/>
  <c r="E19"/>
  <c r="E52" l="1"/>
</calcChain>
</file>

<file path=xl/sharedStrings.xml><?xml version="1.0" encoding="utf-8"?>
<sst xmlns="http://schemas.openxmlformats.org/spreadsheetml/2006/main" count="1441" uniqueCount="466">
  <si>
    <t>C3тр</t>
  </si>
  <si>
    <t>C3гнб</t>
  </si>
  <si>
    <t>Уровень напряжения, кВ</t>
  </si>
  <si>
    <t>Стандартизированная тарифная ставка, руб/кВт (без учета НДС)</t>
  </si>
  <si>
    <t>Стандартизированная тарифная ставка, руб/км (без учета НДС)</t>
  </si>
  <si>
    <t>до 150 включительно</t>
  </si>
  <si>
    <t>от 150 до 670 включительно</t>
  </si>
  <si>
    <t>свыше 670</t>
  </si>
  <si>
    <t>6 - 10</t>
  </si>
  <si>
    <t xml:space="preserve">где: </t>
  </si>
  <si>
    <t>Стандартизированная тарифная ставка на покрытие расходов сетевой организации на строительство воздушных линий электропередачи в расчете на 1 км линий</t>
  </si>
  <si>
    <t>Стандартизированная тарифная ставка на покрытие расходов сетевой организации на строительство кабельных линий электропередачи в траншее в расчете на 1 км линий</t>
  </si>
  <si>
    <t>Стандартизированная тарифная ставка на покрытие расходов сетевой организации на строительство кабельных линий электропередачи методом горизонтально-наклонного бурения в расчете на 1 км линий</t>
  </si>
  <si>
    <t>Z</t>
  </si>
  <si>
    <t>Расчет составил (должность, ФИО, дата):</t>
  </si>
  <si>
    <t>Расчет проверил (должность, ФИО, дата):</t>
  </si>
  <si>
    <t>Применяемый тариф для данного заявителя</t>
  </si>
  <si>
    <t>руб.</t>
  </si>
  <si>
    <t>Объем работ, выполняемых Сетевой организацией</t>
  </si>
  <si>
    <t>Плата за технологическое присоединение расчитывается по формуле:</t>
  </si>
  <si>
    <t>посредством применения стандартизированных тарифных ставок</t>
  </si>
  <si>
    <t>по договору №</t>
  </si>
  <si>
    <t>Уровень напряжения (0,4/6/10 кВ)</t>
  </si>
  <si>
    <t xml:space="preserve">Итого с НДС </t>
  </si>
  <si>
    <t xml:space="preserve">НДС (18%)  </t>
  </si>
  <si>
    <t xml:space="preserve">без НДС      </t>
  </si>
  <si>
    <t>до 150 кВт включительно</t>
  </si>
  <si>
    <t>от 150 кВт до 670 кВт  включительно</t>
  </si>
  <si>
    <t>0,4-10 кВ</t>
  </si>
  <si>
    <r>
      <rPr>
        <sz val="11"/>
        <color theme="1"/>
        <rFont val="Calibri"/>
        <family val="2"/>
        <charset val="204"/>
        <scheme val="minor"/>
      </rPr>
      <t>С</t>
    </r>
    <r>
      <rPr>
        <sz val="8"/>
        <color theme="1"/>
        <rFont val="Calibri"/>
        <family val="2"/>
        <charset val="204"/>
        <scheme val="minor"/>
      </rPr>
      <t>1.1</t>
    </r>
  </si>
  <si>
    <r>
      <rPr>
        <sz val="11"/>
        <color theme="1"/>
        <rFont val="Calibri"/>
        <family val="2"/>
        <charset val="204"/>
        <scheme val="minor"/>
      </rPr>
      <t>С</t>
    </r>
    <r>
      <rPr>
        <sz val="8"/>
        <color theme="1"/>
        <rFont val="Calibri"/>
        <family val="2"/>
        <charset val="204"/>
        <scheme val="minor"/>
      </rPr>
      <t>1.2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</si>
  <si>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theme="1"/>
        <rFont val="Calibri"/>
        <family val="2"/>
        <charset val="204"/>
        <scheme val="minor"/>
      </rPr>
      <t>С</t>
    </r>
    <r>
      <rPr>
        <sz val="8"/>
        <color theme="1"/>
        <rFont val="Calibri"/>
        <family val="2"/>
        <charset val="204"/>
        <scheme val="minor"/>
      </rPr>
      <t>1.3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</si>
  <si>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1"/>
        <color theme="1"/>
        <rFont val="Calibri"/>
        <family val="2"/>
        <charset val="204"/>
        <scheme val="minor"/>
      </rPr>
      <t>С</t>
    </r>
    <r>
      <rPr>
        <sz val="8"/>
        <color theme="1"/>
        <rFont val="Calibri"/>
        <family val="2"/>
        <charset val="204"/>
        <scheme val="minor"/>
      </rPr>
      <t>1.4</t>
    </r>
    <r>
      <rPr>
        <sz val="11"/>
        <color theme="1"/>
        <rFont val="Calibri"/>
        <family val="2"/>
        <charset val="204"/>
        <scheme val="minor"/>
      </rPr>
      <t/>
    </r>
  </si>
  <si>
    <t>Постоянная схема электроснабжения</t>
  </si>
  <si>
    <t>Временная схема электроснабжения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</si>
  <si>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 в ценах периода регулирования. В том числе:</t>
  </si>
  <si>
    <t>на подготовку и выдачу сетевой организацией технических условий</t>
  </si>
  <si>
    <t>Проверка сетевой организацией выполнения заявителем технических условий</t>
  </si>
  <si>
    <t>Участие сетевой организации в осмотре (обследовании) должностным лицом органа федерального государственного энергетического надзора присоединяемых устройств</t>
  </si>
  <si>
    <t>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коммутационного аппарата в положении "включено"</t>
  </si>
  <si>
    <t>С4пс</t>
  </si>
  <si>
    <t>С4тп</t>
  </si>
  <si>
    <t>С2вл</t>
  </si>
  <si>
    <t>С2бо</t>
  </si>
  <si>
    <t>индекс изменения сметной стоимости СМР, рекомендуемый Министерством строительства и жилищно- коммунального хозяйства РФ</t>
  </si>
  <si>
    <t>Стандартизированная тарифная ставка на покрытие расходов сетевой организации на строительство воздушных линий электропередачи по существующим опорам в расчете на 1 км линий</t>
  </si>
  <si>
    <t>Подготовка и выдача ТУ (да/нет)</t>
  </si>
  <si>
    <t>Проверка выполнения заявителем ТУ (да/нет)</t>
  </si>
  <si>
    <t>Участие в осмотре совместно с должностным лицом органа федерального государственного энергетического надзора (да/нет)</t>
  </si>
  <si>
    <t>Осуществление действий по фактическому присоединению (да/нет)</t>
  </si>
  <si>
    <t>да</t>
  </si>
  <si>
    <t>Временная схема электроснабжения (да/нет)</t>
  </si>
  <si>
    <t xml:space="preserve">                                      </t>
  </si>
  <si>
    <t>нет</t>
  </si>
  <si>
    <t>Присоединенямая мощность, кВт</t>
  </si>
  <si>
    <r>
      <t>С</t>
    </r>
    <r>
      <rPr>
        <sz val="8"/>
        <color theme="1"/>
        <rFont val="Calibri"/>
        <family val="2"/>
        <charset val="204"/>
        <scheme val="minor"/>
      </rPr>
      <t>1</t>
    </r>
  </si>
  <si>
    <r>
      <t>С</t>
    </r>
    <r>
      <rPr>
        <sz val="8"/>
        <color theme="1"/>
        <rFont val="Calibri"/>
        <family val="2"/>
        <charset val="204"/>
        <scheme val="minor"/>
      </rPr>
      <t>1.1</t>
    </r>
  </si>
  <si>
    <r>
      <t>С</t>
    </r>
    <r>
      <rPr>
        <sz val="8"/>
        <color theme="1"/>
        <rFont val="Calibri"/>
        <family val="2"/>
        <charset val="204"/>
        <scheme val="minor"/>
      </rPr>
      <t>1.2</t>
    </r>
    <r>
      <rPr>
        <sz val="11"/>
        <color theme="1"/>
        <rFont val="Calibri"/>
        <family val="2"/>
        <charset val="204"/>
        <scheme val="minor"/>
      </rPr>
      <t/>
    </r>
  </si>
  <si>
    <r>
      <t>С</t>
    </r>
    <r>
      <rPr>
        <sz val="8"/>
        <color theme="1"/>
        <rFont val="Calibri"/>
        <family val="2"/>
        <charset val="204"/>
        <scheme val="minor"/>
      </rPr>
      <t>1.3</t>
    </r>
    <r>
      <rPr>
        <sz val="11"/>
        <color theme="1"/>
        <rFont val="Calibri"/>
        <family val="2"/>
        <charset val="204"/>
        <scheme val="minor"/>
      </rPr>
      <t/>
    </r>
  </si>
  <si>
    <r>
      <t>С</t>
    </r>
    <r>
      <rPr>
        <sz val="8"/>
        <color theme="1"/>
        <rFont val="Calibri"/>
        <family val="2"/>
        <charset val="204"/>
        <scheme val="minor"/>
      </rPr>
      <t>1.4</t>
    </r>
    <r>
      <rPr>
        <sz val="11"/>
        <color theme="1"/>
        <rFont val="Calibri"/>
        <family val="2"/>
        <charset val="204"/>
        <scheme val="minor"/>
      </rPr>
      <t/>
    </r>
  </si>
  <si>
    <t>от 150 кВт до 670 кВт включительно</t>
  </si>
  <si>
    <r>
      <t xml:space="preserve">С4тп </t>
    </r>
    <r>
      <rPr>
        <sz val="9"/>
        <color theme="1"/>
        <rFont val="Calibri"/>
        <family val="2"/>
        <charset val="204"/>
        <scheme val="minor"/>
      </rPr>
      <t>III кат</t>
    </r>
  </si>
  <si>
    <r>
      <t xml:space="preserve">С4тп </t>
    </r>
    <r>
      <rPr>
        <sz val="9"/>
        <color theme="1"/>
        <rFont val="Calibri"/>
        <family val="2"/>
        <charset val="204"/>
        <scheme val="minor"/>
      </rPr>
      <t>I-II кат</t>
    </r>
  </si>
  <si>
    <t>Категория надежности (3/2/1)</t>
  </si>
  <si>
    <t xml:space="preserve">Стандартизированная тарифная ставка на покрытие расходов сетевой организации на строительство пунктов секционирования </t>
  </si>
  <si>
    <t>Стандартизированная тарифная ставка на покрытие расходов сетевой организации на строительство подстанций (по I-II,                  III  категории надежности)</t>
  </si>
  <si>
    <t>Объем присоединяемой мощности, кВт</t>
  </si>
  <si>
    <t>Строительство воздушных линий</t>
  </si>
  <si>
    <t>СИП 4, 4х25</t>
  </si>
  <si>
    <t>СИП 4, 4х50</t>
  </si>
  <si>
    <t>СИП-2 3х95+1х70</t>
  </si>
  <si>
    <t>СИП-2 3х50+1х54,6+1х16</t>
  </si>
  <si>
    <t>СИП-2 3х70+1х54,6+1х16</t>
  </si>
  <si>
    <t>СИП 3, 1х50</t>
  </si>
  <si>
    <t>СИП 3, 1х70</t>
  </si>
  <si>
    <t>СИП 3, 1х95</t>
  </si>
  <si>
    <t>СИП 3, 1х120</t>
  </si>
  <si>
    <t>СИП-3, 1х50</t>
  </si>
  <si>
    <t>СИП-3, 1х70</t>
  </si>
  <si>
    <t>СИП-3, 1х95</t>
  </si>
  <si>
    <t>СИП-3, 1х120</t>
  </si>
  <si>
    <t>Строительство кабельных линий</t>
  </si>
  <si>
    <t>КЛ 0,4 кВ</t>
  </si>
  <si>
    <t>Горизонтально-направленное бурение при прокладке КЛ 0,4 кВ (СМР без кабеля)</t>
  </si>
  <si>
    <t>КЛ 6-10 кВ</t>
  </si>
  <si>
    <t>2.2.3.1.</t>
  </si>
  <si>
    <t>Строительство подстанций</t>
  </si>
  <si>
    <t>КТПН-ПВ-25 с трансформатором ТМГ-25 кВА на номинальное напряжение 10(6)/0,4кВ</t>
  </si>
  <si>
    <t>КТПН-ПВ-40 с трансформатором ТМГ-40 кВА на номинальное напряжение 10(6)/0,4кВ</t>
  </si>
  <si>
    <t>КТПН-ПВ-63 с трансформатором ТМГ-63 кВА на номинальное напряжение 10(6)/0,4кВ</t>
  </si>
  <si>
    <t>КТПН-ПВ-100 с трансформатором ТМГ-100 кВА на номинальное напряжение 10(6)/0,4кВ</t>
  </si>
  <si>
    <t>КТПН-ПВ-160 с трансформатором ТМГ-160 кВА на номинальное напряжение 10(6)/0,4кВ</t>
  </si>
  <si>
    <t>КТПН-ПВ-250 с трансформатором ТМГ-250 кВА на номинальное напряжение 10(6)/0,4кВ</t>
  </si>
  <si>
    <t>2КТПН-ПВ-250 с трансформаторами ТМГ-2х250 кВА на номинальное напряжение 10(6)/0,4кВ</t>
  </si>
  <si>
    <t>КТПН-ПВ-400 с трансформатором ТМГ- 400 кВА на номинальное напряжение 10(6)/0,4кВ</t>
  </si>
  <si>
    <t>2КТПН-ПВ-400 с трансформаторами ТМГ- 2х400 кВА на номинальное напряжение 10(6)/0,4кВ</t>
  </si>
  <si>
    <t>КТПН-ПВ-630 с трансформатором ТМГ- 630 кВА на номинальное напряжение 10(6)/0,4кВ</t>
  </si>
  <si>
    <t>2КТПН-ПВ-630 с  трансформаторами ТМГ- 2х630 кВА на номинальное напряжение 10(6)/0,4кВ</t>
  </si>
  <si>
    <t>КТПН-ТВ-25 с трансформатором ТМГ-25 кВА на номинальное напряжение 10(6)/0,4кВ</t>
  </si>
  <si>
    <t>Строительство КТПН 10(6)/0,4</t>
  </si>
  <si>
    <t>2КТПН-ТВ-250 с трансформаторами ТМГ-2х250 кВА на номинальное напряжение 10(6)/0,4кВ</t>
  </si>
  <si>
    <t>Строительство 2КТПН 10(6)/0,4</t>
  </si>
  <si>
    <t>Строительство КТПН 10(6)/0,6</t>
  </si>
  <si>
    <t>2КТПН-ТВ-400 с трансформаторами ТМГ- 2х400 кВА на номинальное напряжение 10(6)/0,4кВ</t>
  </si>
  <si>
    <t>Строительство 2КТПН 10(6)/0,6</t>
  </si>
  <si>
    <t xml:space="preserve">БКТП-400 с трансформатором ТМГ-400 кВА, РШНН-16, РУ-10кВ на номинальное напряжение 10(6)/0,4кВ </t>
  </si>
  <si>
    <t>Строительство БКТП 10(6)/0,4</t>
  </si>
  <si>
    <t>БКТП-630 с трансформатором ТМГ-630 кВА, РШНН-16, РУ-10кВ на номинальное напряжение 10(6)/0,4кВ</t>
  </si>
  <si>
    <t>БКТП-1000 с трансформатором ТМГ-1000 кВА, РШНН-16, РУ-10кВ на номинальное напряжение 10(6)/0,4кВ</t>
  </si>
  <si>
    <t>БКТП-1250 с трансформатором ТМГ-1250 кВА, РШНН-16, РУ-10кВ на номинальное напряжение 10(6)/0,4кВ</t>
  </si>
  <si>
    <t>БКТП-1600 с трансформатором ТМГ-1600 кВА, РШНН-16, РУ-10кВ на номинальное напряжение 10(6)/0,4кВ</t>
  </si>
  <si>
    <t>2БКТП-400 с трансформаторами ТМГ-2х400 кВА, РШНН-16, РУ-10кВ на номинальное напряжение10(6)/0,4кВ</t>
  </si>
  <si>
    <t>Строительство 2БКТП 10(6)/0,4</t>
  </si>
  <si>
    <t>2БКТП-630 с трансформаторами ТМГ-2х630 кВА, РШНН-16, РУ-10кВ на номинальное напряжение10(6)/0,4кВ</t>
  </si>
  <si>
    <t>Строительство 2БКТП 10(6)/0,5</t>
  </si>
  <si>
    <t>2БКТП-1000 с трансформаторами ТМГ-2х1000 кВА, РШНН-16, РУ-10кВ на номинальное напряжение10(6)/0,4кВ</t>
  </si>
  <si>
    <t>Строительство 2БКТП 10(6)/0,6</t>
  </si>
  <si>
    <t>2БКТП-1250 с трансформаторами ТМГ-2х1250 кВА, РШНН-16, РУ-10кВ на номинальное напряжение10(6)/0,4кВ</t>
  </si>
  <si>
    <t>Строительство 2БКТП 10(6)/0,7</t>
  </si>
  <si>
    <t>2БКТП-1600 с трансформаторами ТМГ-2х1600 кВА, РШНН-16, РУ-10кВ на номинальное напряжение10(6)/0,4кВ</t>
  </si>
  <si>
    <t>БРП-630, с трансформатором ТМГ-630 кВА, до 8 ячеек 10(6)/0,4кВ</t>
  </si>
  <si>
    <t>Строительство БКРП 10(6)/0,4</t>
  </si>
  <si>
    <t>БРП-630, с трансформатором ТМГ-630 кВА, до 10 ячеек 10(6)/0,4кВ</t>
  </si>
  <si>
    <t>БРП-630, с трансформатором ТМГ-630 кВА, до 12 ячеек10(6)/0,4кВ</t>
  </si>
  <si>
    <t>Строительство БКРП 10(6)/0,5</t>
  </si>
  <si>
    <t>БРП-1000 с трансформатором ТМГ-1000 кВА, до 8 ячеек 10(6)/0,4кВ</t>
  </si>
  <si>
    <t>БРП-1000 с трансформатором ТМГ-1000 кВА, до 10 ячеек 10(6)/0,4кВ</t>
  </si>
  <si>
    <t>БРП-1000 с трансформатором ТМГ-1000 кВА, до 12 ячеек 10(6)/0,4кВ</t>
  </si>
  <si>
    <t>БРП-1600 с трансформатором ТМГ-1600 кВА, до 14 ячеек10(6)/0,4кВ</t>
  </si>
  <si>
    <t>БРП-1600 с трансформатором ТМГ-1600 кВА, до 18 ячеек 10(6)/0,4кВ</t>
  </si>
  <si>
    <t>2БРП-630, с трансформаторами ТМГ-2х630 кВА, до 12 ячеек 10(6)/0,4кВ</t>
  </si>
  <si>
    <t>2БРП-630, с трансформаторами ТМГ-2х630 кВА, до 18 ячеек 10(6)/0,4кВ</t>
  </si>
  <si>
    <t>2БРП-630, с трансформаторами ТМГ-2х630 кВА, до 24 ячеек10(6)/0,4кВ</t>
  </si>
  <si>
    <t>2БРП-1000 с трансформаторами ТМГ-2х1000 кВА, до 12 ячеек 10(6)/0,4кВ</t>
  </si>
  <si>
    <t>2БРП-1000 с трансформаторами ТМГ-2х1000 кВА, до 18 ячеек 10(6)/0,4кВ</t>
  </si>
  <si>
    <t>2БРП-1000 с трансформаторами ТМГ-2х1000 кВА, до 24 ячеек 10(6)/0,4кВ</t>
  </si>
  <si>
    <t>2БРП-1600 с трансформаторами ТМГ-2х1600 кВА, до 12 ячеек 10(6)/0,4кВ</t>
  </si>
  <si>
    <t>2БРП-1600 с трансформаторами ТМГ-2х1600 кВА, до 18 ячеек 10(6)/0,4кВ</t>
  </si>
  <si>
    <t>2БРП-1600 с трансформаторами ТМГ-2х1600 кВА, до 24 ячеек 10(6)/0,4кВ</t>
  </si>
  <si>
    <t>Мачтовые трансформаторные подстанции</t>
  </si>
  <si>
    <t>МТП с трансформатором ТМ-25 кВА номинальным напряжением  10(6)/0,4 кВ</t>
  </si>
  <si>
    <t>Строительство МТП 10(6)/0,4</t>
  </si>
  <si>
    <t>МТП с трансформатором ТМ-40 кВА номинальным напряжением 10(6)/0,4 кВ</t>
  </si>
  <si>
    <t>МТП с трансформатором ТМ-63 кВА номинальным напряжением 10(6)/0,4 кВ</t>
  </si>
  <si>
    <t>МТП с трансформатором ТМ-100 кВА номинальным напряжением 10(6)/0,4 кВ</t>
  </si>
  <si>
    <t>МТП с трансформатором ТМ-160 кВА номинальным напряжением 10(6)/0,4 кВ</t>
  </si>
  <si>
    <t>РП до 8 линейных ячеек  отходящих фидеров  10(6) кВ</t>
  </si>
  <si>
    <t>Строительство РП 10(6)</t>
  </si>
  <si>
    <t>Кабель бронированный с изоляцией из сшитого полиэтилена и алюминиевой токопроводящей жилой</t>
  </si>
  <si>
    <t>Кабель бронированный с изоляцией из ПВХ пластиката и медной токопроводящей жилой</t>
  </si>
  <si>
    <t>Кабель бронированный с изоляцией из сшитого полиэтилена и медной токопроводящей жилой</t>
  </si>
  <si>
    <t>Кабель с изоляцией из сшитого полиэтилена и алюминиевой токопроводящей жилой</t>
  </si>
  <si>
    <t>Горизонтально-направленное бурение при прокладке КЛ 6-10 кВ (СМР без кабеля)</t>
  </si>
  <si>
    <t>1.1.1.</t>
  </si>
  <si>
    <t>1.1.2.</t>
  </si>
  <si>
    <t>1.1.3.</t>
  </si>
  <si>
    <t>1.1.4.</t>
  </si>
  <si>
    <t>1.1.5.</t>
  </si>
  <si>
    <t>1.2.1.</t>
  </si>
  <si>
    <t>1.2.2.</t>
  </si>
  <si>
    <t>1.2.3.</t>
  </si>
  <si>
    <t>1.2.4.</t>
  </si>
  <si>
    <t>1.2.5.</t>
  </si>
  <si>
    <t>1.3.1.</t>
  </si>
  <si>
    <t>1.3.2.</t>
  </si>
  <si>
    <t>1.3.3.</t>
  </si>
  <si>
    <t>1.4.1.</t>
  </si>
  <si>
    <t>1.4.2.</t>
  </si>
  <si>
    <t>1.4.3.</t>
  </si>
  <si>
    <t>1.4.4.</t>
  </si>
  <si>
    <t>1.5.1.</t>
  </si>
  <si>
    <t>1.5.2.</t>
  </si>
  <si>
    <t>1.5.3.</t>
  </si>
  <si>
    <t>1.5.4.</t>
  </si>
  <si>
    <t>1.6.1.</t>
  </si>
  <si>
    <t>1.6.2.</t>
  </si>
  <si>
    <t>1.6.3.</t>
  </si>
  <si>
    <t>2.1.1.1.</t>
  </si>
  <si>
    <t>2.1.1.2.</t>
  </si>
  <si>
    <t>2.1.1.3.</t>
  </si>
  <si>
    <t>2.1.1.4.</t>
  </si>
  <si>
    <t>2.1.2.1.</t>
  </si>
  <si>
    <t>2.1.2.2.</t>
  </si>
  <si>
    <t>2.1.2.3.</t>
  </si>
  <si>
    <t>2.1.2.4.</t>
  </si>
  <si>
    <t>2.1.3.1.</t>
  </si>
  <si>
    <t>2.2.1.1.</t>
  </si>
  <si>
    <t>2.2.1.2.</t>
  </si>
  <si>
    <t>2.2.1.3.</t>
  </si>
  <si>
    <t>2.2.1.4.</t>
  </si>
  <si>
    <t>2.2.1.5.</t>
  </si>
  <si>
    <t>2.2.2.1.</t>
  </si>
  <si>
    <t>2.2.2.2.</t>
  </si>
  <si>
    <t>3.1.1.</t>
  </si>
  <si>
    <t>3.1.2.</t>
  </si>
  <si>
    <t>3.1.3.</t>
  </si>
  <si>
    <t>3.1.4.</t>
  </si>
  <si>
    <t>3.1.5.</t>
  </si>
  <si>
    <t>3.1.6.</t>
  </si>
  <si>
    <t>3.2.1.</t>
  </si>
  <si>
    <t>3.2.2.</t>
  </si>
  <si>
    <t>3.2.3.</t>
  </si>
  <si>
    <t>3.2.4.</t>
  </si>
  <si>
    <t>3.2.5.</t>
  </si>
  <si>
    <t>3.2.6.</t>
  </si>
  <si>
    <t>3.3.1.</t>
  </si>
  <si>
    <t>3.3.2.</t>
  </si>
  <si>
    <t>3.3.3.</t>
  </si>
  <si>
    <t>3.3.4.</t>
  </si>
  <si>
    <t>3.3.5.</t>
  </si>
  <si>
    <t>3.4.1.</t>
  </si>
  <si>
    <t>3.4.2.</t>
  </si>
  <si>
    <t>3.4.3.</t>
  </si>
  <si>
    <t>3.4.4.</t>
  </si>
  <si>
    <t>3.4.5.</t>
  </si>
  <si>
    <t>3.5.1.</t>
  </si>
  <si>
    <t>3.5.2.</t>
  </si>
  <si>
    <t>3.5.3.</t>
  </si>
  <si>
    <t>3.5.4.</t>
  </si>
  <si>
    <t>3.5.5.</t>
  </si>
  <si>
    <t>3.5.6.</t>
  </si>
  <si>
    <t>3.5.7.</t>
  </si>
  <si>
    <t>3.5.8.</t>
  </si>
  <si>
    <t>3.6.1.</t>
  </si>
  <si>
    <t>3.6.2.</t>
  </si>
  <si>
    <t>3.6.3.</t>
  </si>
  <si>
    <t>3.6.4.</t>
  </si>
  <si>
    <t>3.6.5.</t>
  </si>
  <si>
    <t>3.6.6.</t>
  </si>
  <si>
    <t>3.6.7.</t>
  </si>
  <si>
    <t>3.6.8.</t>
  </si>
  <si>
    <t>3.6.9.</t>
  </si>
  <si>
    <t>3.7.1.</t>
  </si>
  <si>
    <t>3.7.2.</t>
  </si>
  <si>
    <t>3.7.3.</t>
  </si>
  <si>
    <t>3.7.4.</t>
  </si>
  <si>
    <t>3.7.5.</t>
  </si>
  <si>
    <t>3.8.1.</t>
  </si>
  <si>
    <t>3.8.2.</t>
  </si>
  <si>
    <t>3.8.3.</t>
  </si>
  <si>
    <t>3.9.1.</t>
  </si>
  <si>
    <t xml:space="preserve"> </t>
  </si>
  <si>
    <t>Сумма ВЛ</t>
  </si>
  <si>
    <t>№ п/п</t>
  </si>
  <si>
    <t>Наименование работ</t>
  </si>
  <si>
    <t>Наименование материала</t>
  </si>
  <si>
    <t>Стоимость в ценах в 2001г.</t>
  </si>
  <si>
    <t>1.</t>
  </si>
  <si>
    <t>1.1.</t>
  </si>
  <si>
    <t xml:space="preserve">ВЛ 0,4 кВ деревянные опоры с ж/б приставками </t>
  </si>
  <si>
    <t>Строительство ВЛИ 0,4 кВ</t>
  </si>
  <si>
    <t>1.2.</t>
  </si>
  <si>
    <t>ВЛ 0,4 кВ железобетонные опоры</t>
  </si>
  <si>
    <t>1.3.</t>
  </si>
  <si>
    <t>ВЛ 0,4 кВ по существующим опорам</t>
  </si>
  <si>
    <t>1.4.</t>
  </si>
  <si>
    <r>
      <t xml:space="preserve">ВЛ-6-10 кВ деревянные опоры </t>
    </r>
    <r>
      <rPr>
        <b/>
        <sz val="12"/>
        <rFont val="Times New Roman"/>
        <family val="1"/>
        <charset val="204"/>
      </rPr>
      <t>с ж/б приставками</t>
    </r>
    <r>
      <rPr>
        <b/>
        <sz val="12"/>
        <color rgb="FF000000"/>
        <rFont val="Times New Roman"/>
        <family val="1"/>
        <charset val="204"/>
      </rPr>
      <t xml:space="preserve"> </t>
    </r>
  </si>
  <si>
    <t>Строительство ВЛЗ 6-10 кВ</t>
  </si>
  <si>
    <t>1.5.</t>
  </si>
  <si>
    <t>ВЛ 6-10 кВ (железобетонные опоры)</t>
  </si>
  <si>
    <t>1.6.</t>
  </si>
  <si>
    <t>ВЛ 6-10 кВ по существующим опорам</t>
  </si>
  <si>
    <t>2.</t>
  </si>
  <si>
    <t>2.1.</t>
  </si>
  <si>
    <t>2.1.1.</t>
  </si>
  <si>
    <t>Строительство КЛ 0,4 кВ</t>
  </si>
  <si>
    <t>2.1.2.</t>
  </si>
  <si>
    <t xml:space="preserve"> Кабель АПвБбШв 4х50</t>
  </si>
  <si>
    <t xml:space="preserve"> Кабель АПвБбШв 4х95</t>
  </si>
  <si>
    <t xml:space="preserve"> Кабель АПвБбШв 4х120</t>
  </si>
  <si>
    <t xml:space="preserve"> Кабель АПвБбШв 4х240</t>
  </si>
  <si>
    <t>2.1.3.</t>
  </si>
  <si>
    <t>Кабель ПвБбШв 4х95</t>
  </si>
  <si>
    <t>Кабель ПвБбШв 4х120</t>
  </si>
  <si>
    <t>Кабель ПвБбШв 4х240</t>
  </si>
  <si>
    <t>Горизонтально-направленное бурение при прокладке КЛ 0,4 кВ (СМР без кабеля, 1 цепное исполнение)</t>
  </si>
  <si>
    <t>ГНБ</t>
  </si>
  <si>
    <t>СМР</t>
  </si>
  <si>
    <t>2.2.</t>
  </si>
  <si>
    <t>2.2.1.</t>
  </si>
  <si>
    <t>Строительство КЛ 6-10 кВ</t>
  </si>
  <si>
    <t>Кабель АПвПу1х120</t>
  </si>
  <si>
    <t>Кабель АПвПу1х240</t>
  </si>
  <si>
    <t>Кабель АПвПу1х400</t>
  </si>
  <si>
    <t>Кабель АПвПу1х500</t>
  </si>
  <si>
    <t>Кабель АПвПу1х630</t>
  </si>
  <si>
    <t>2.2.2.</t>
  </si>
  <si>
    <t>Строительство КЛ 6 кВ</t>
  </si>
  <si>
    <t>Кабель ВБбШв3х120</t>
  </si>
  <si>
    <t>Кабель ВБбШв3х240</t>
  </si>
  <si>
    <t>2.2.3.</t>
  </si>
  <si>
    <t>Горизонтально-направленное бурение при прокладке КЛ 6-10 кВ (СМР без кабеля, 1 цепное исполнение)</t>
  </si>
  <si>
    <t>3.</t>
  </si>
  <si>
    <t>3.1.</t>
  </si>
  <si>
    <t>Транформатор ТМГ 25 кВА 10(6) 0,4кВ</t>
  </si>
  <si>
    <t>Транформатор ТМГ 40 кВА 10(6) 0,4кВ</t>
  </si>
  <si>
    <t>Транформатор ТМГ 63 кВА 10(6) 0,4кВ</t>
  </si>
  <si>
    <t>Транформатор ТМГ 100 кВА 10(6) 0,4кВ</t>
  </si>
  <si>
    <t>Транформатор ТМГ 160 кВА 10(6) 0,4кВ</t>
  </si>
  <si>
    <t>Транформатор ТМГ 250 кВА 10(6) 0,4кВ</t>
  </si>
  <si>
    <t>3.2.</t>
  </si>
  <si>
    <t>3.3.</t>
  </si>
  <si>
    <t>Транформатор ТМГ 400 кВА 10(6) 0,4кВ</t>
  </si>
  <si>
    <t>Транформатор ТМГ 630 кВА 10(6) 0,4кВ</t>
  </si>
  <si>
    <t>3.4.</t>
  </si>
  <si>
    <t>3.5.</t>
  </si>
  <si>
    <t>3.6.</t>
  </si>
  <si>
    <t>3.7.</t>
  </si>
  <si>
    <t>Блочные комплектные трансформаторные подстанции однотрансформаторные односекционные с общим количеством ячеек - 4</t>
  </si>
  <si>
    <t>Транформатор ТМГ 1000 кВА 10(6) 0,4кВ</t>
  </si>
  <si>
    <t>Транформатор ТМГ 1250 кВА 10(6) 0,4кВ</t>
  </si>
  <si>
    <t>Транформатор ТМГ 1600 кВА 10(6) 0,4кВ</t>
  </si>
  <si>
    <t>3.8.</t>
  </si>
  <si>
    <t>Блочные комплектные трансформаторные подстанции двухтрансформаторные двухсекционные с общим количеством ячеек - 10</t>
  </si>
  <si>
    <t>3.9.</t>
  </si>
  <si>
    <t>Блочные распределительные пункты (БРП) однотрансформаторные односекционные</t>
  </si>
  <si>
    <t>Блочные распределительные пункты (БРП) двухтрансформаторные двухсекционные</t>
  </si>
  <si>
    <t>Транформатор 25 кВА 10(6) 0,4кВ</t>
  </si>
  <si>
    <t>Транформатор 40 кВА 10(6) 0,4кВ</t>
  </si>
  <si>
    <t>Транформатор 63 кВА 10(6) 0,4кВ</t>
  </si>
  <si>
    <t>Транформатор 100 кВА 10(6) 0,4кВ</t>
  </si>
  <si>
    <t>Транформатор 160 кВА 10(6) 0,4кВ</t>
  </si>
  <si>
    <t>Распределительный пункт  на 8 ячеек</t>
  </si>
  <si>
    <t>Распределительный пункт  на 10 ячеек</t>
  </si>
  <si>
    <t>Распределительный пункт  на 14 ячеек</t>
  </si>
  <si>
    <t xml:space="preserve">Установка реклоузера </t>
  </si>
  <si>
    <t>Вакуумный выключатель BB/TEL на Iном=630А</t>
  </si>
  <si>
    <t>Zвл</t>
  </si>
  <si>
    <t>Сумма ТП</t>
  </si>
  <si>
    <t>Сумма РП</t>
  </si>
  <si>
    <t>Строительство пунктов секционирования</t>
  </si>
  <si>
    <t>Строительство распределительных пунктов</t>
  </si>
  <si>
    <t>ВЛ</t>
  </si>
  <si>
    <t>КЛ</t>
  </si>
  <si>
    <t>ПС</t>
  </si>
  <si>
    <t>РП</t>
  </si>
  <si>
    <t>ТП</t>
  </si>
  <si>
    <t>Уровень напряжения, кВ                                 Присоединенямая мощность, кВт</t>
  </si>
  <si>
    <t xml:space="preserve">ВЛ 0,4 кВ </t>
  </si>
  <si>
    <t>ВЛ-6-10 кВ</t>
  </si>
  <si>
    <t xml:space="preserve">без НДС  :      </t>
  </si>
  <si>
    <t>ИТОГО с НДС  :</t>
  </si>
  <si>
    <t>ВЛИ 0,4 кВ проводом СИП с площадью поперечного сечения до 25 мм² на деревянных опорах с ж/б приставками (ввода)</t>
  </si>
  <si>
    <t>ВЛИ 0,4 кВ проводом СИП с площадью поперечного сечения до 50 мм² на деревянных опорах с ж/б приставками (ввода)</t>
  </si>
  <si>
    <t>ВЛИ 0,4 кВ проводом СИП  с площадью поперечного сечения до 95 мм² на деревянных опорах с ж/б приставками (1 цепное исполнение)</t>
  </si>
  <si>
    <t>ВЛИ 0,4 кВ проводом СИП с площадью поперечного сечения до 50 мм² на деревянных опорах с ж/б приставками (1 цепное исполнение)</t>
  </si>
  <si>
    <t>ВЛИ 0,4 кВ проводом СИП с площадью поперечного сечения до 70 мм² на деревянных опорах с ж/б приставками (1 цепное исполнение)</t>
  </si>
  <si>
    <t>ВЛИ 0,4 кВ проводом СИП с площадью поперечного сечения до 70 мм² на ж/б опорах (1 цепное исполнение)</t>
  </si>
  <si>
    <t>ВЛИ 0,4 кВ проводом СИП с площадью поперечного сечения до 50 мм² (1 цепное исполнение)</t>
  </si>
  <si>
    <t>ВЛЗ 6-10 кВ проводом СИП с площадью поперечного сечения до 50 мм² на деревянных опорах с ж/б приставками (1 цепное исполнение)</t>
  </si>
  <si>
    <t>ВЛЗ 6-10 кВ проводом СИП с площадью поперечного сечения до 70 мм² на деревянных опорах с ж/б приставками (1 цепное исполнение)</t>
  </si>
  <si>
    <t>ВЛЗ 6-10 кВ проводом СИП с площадью поперечного сечения до 95 мм² на деревянных опорах с ж/б приставками (1 цепное исполнение)</t>
  </si>
  <si>
    <t>ВЛЗ 6-10 кВ проводом СИП с площадью поперечного сечения до 120  мм² на деревянных опорах с ж/б приставками (1 цепное исполнение)</t>
  </si>
  <si>
    <t>ВЛЗ 6-10 кВ с проводом СИП с площадью поперечного сечения до 70 мм² на ж/б опорах (1 цепное исполнение)</t>
  </si>
  <si>
    <t>ВЛЗ 6-10 кВ с проводом СИП с площадью поперечного сечения до 95 мм² на ж/б опорах (1 цепное исполнение)</t>
  </si>
  <si>
    <t>ВЛЗ 6-10 кВ с проводом СИП с площадью поперечного сечения до 120 мм² на ж/б опорах (1 цепное исполнение)</t>
  </si>
  <si>
    <t xml:space="preserve">ВЛЗ 6-10 кВ с проводом СИП с площадью поперечного сечения до 50 мм² </t>
  </si>
  <si>
    <t xml:space="preserve">ВЛЗ 6-10 кВ с проводом СИП с площадью поперечного сечения до 95 мм² </t>
  </si>
  <si>
    <t xml:space="preserve">ВЛЗ 6-10 кВ с проводом СИП с площадью поперечного сечения до 120 мм² </t>
  </si>
  <si>
    <t>КЛ 0,4 кВ кабелем марки АПвБбШв сечением 4х50  мм² (1 цепное исполнение)</t>
  </si>
  <si>
    <t>КЛ 0,4 кВ кабелем марки АПвБбШв сечением 4х95 мм² (1 цепное исполнение)</t>
  </si>
  <si>
    <t>КЛ 0,4 кВ кабелем марки АПвБбШв сечением 4х120 мм² (1 цепное исполнение)</t>
  </si>
  <si>
    <t>КЛ 0,4 кВ кабелем марки АПвБбШв сечением 4х240 мм² (1 цепное исполнение)</t>
  </si>
  <si>
    <t>КЛ 0,4 кВ кабелем ПвБбШв сечением 4х50  мм² (1 цепное исполнение)</t>
  </si>
  <si>
    <t>КЛ 0,4 кВ кабелем ПвБбШв сечением 4х95 мм²  (1 цепное исполнение)</t>
  </si>
  <si>
    <t>КЛ 0,4 кВ кабелем ПвБбШв сечением 4х120  мм² (1 цепное исполнение)</t>
  </si>
  <si>
    <t>КЛ 0,4 кВ кабелем ПвБбШв сечением 4х240 мм² (1 цепное исполнение)</t>
  </si>
  <si>
    <t>КЛ 6-10 кВ кабелем марки АПвПу сечением до 3х(1х120 мм²) (1 цепное исполнение)</t>
  </si>
  <si>
    <t>КЛ 6-10 кВ кабелем марки АПвПу сечением до 3х(1х240 мм²) (1 цепное исполнение)</t>
  </si>
  <si>
    <t>КЛ 6-10 кВ кабелем марки АПвПу сечением до 3х(1х500 мм²) (1 цепное исполнение)</t>
  </si>
  <si>
    <t>КЛ 6-10 кВ кабелем марки АПвПу сечением до 3х(1х630 мм²) (1 цепное исполнение)</t>
  </si>
  <si>
    <t>КЛ 6-10 кВ кабелем марки ВБбШв сечением 3х120 мм² (1 цепное исполнение)</t>
  </si>
  <si>
    <t>КЛ 6-10 кВ кабелем марки ВБбШв сечением 3х240  мм² (1 цепное исполнение)</t>
  </si>
  <si>
    <t>Комплектные трансформаторные подстанции наружного исполнения тупиковые</t>
  </si>
  <si>
    <t>3.2.7.</t>
  </si>
  <si>
    <t>3.2.8.</t>
  </si>
  <si>
    <t>3.2.9.</t>
  </si>
  <si>
    <t>3.2.10.</t>
  </si>
  <si>
    <t>Комплектные трансформаторные подстанции наружного исполнения проходные</t>
  </si>
  <si>
    <t>3.1.7.</t>
  </si>
  <si>
    <t>3.1.8.</t>
  </si>
  <si>
    <t>3.1.9.</t>
  </si>
  <si>
    <t>3.1.10.</t>
  </si>
  <si>
    <t>3.1.11.</t>
  </si>
  <si>
    <t>РП  до 10 линейных ячеек отходящих фидеров10(6) кВ</t>
  </si>
  <si>
    <t>РП до 14 линейных ячеек отходящих фидеров 10(6) кВ</t>
  </si>
  <si>
    <t xml:space="preserve">Реклоузер с вакуумным выключателем 10(6) кВ Iном=630А с узлом коммерческого учета </t>
  </si>
  <si>
    <t>6</t>
  </si>
  <si>
    <t>7</t>
  </si>
  <si>
    <t xml:space="preserve">  </t>
  </si>
  <si>
    <t>3</t>
  </si>
  <si>
    <t>Количество, км, кВт</t>
  </si>
  <si>
    <t>свыше 670 кВт  включительно</t>
  </si>
  <si>
    <t>НДС (18%) :</t>
  </si>
  <si>
    <t>руб/кВт (без учета НДС)</t>
  </si>
  <si>
    <t>Объем строительства, (кВт, км)</t>
  </si>
  <si>
    <t>Установленная стандартизированная тарифная ставка, руб.</t>
  </si>
  <si>
    <t>Выполнение мероприятий сетевой организацией, связанных со строительством "последней мили", согласно технических условий</t>
  </si>
  <si>
    <t>до 8900 кВт</t>
  </si>
  <si>
    <t>Сумма ПС</t>
  </si>
  <si>
    <t>Временная схема электро- снабжения</t>
  </si>
  <si>
    <t xml:space="preserve"> На уровне напряжения ниже 35 кВ и мощности до 150 кВт включительно</t>
  </si>
  <si>
    <t>На уровне напряжения ниже 35 кВ и мощности от 150 до 8900 кВт</t>
  </si>
  <si>
    <t>Сумма КЛ гнб</t>
  </si>
  <si>
    <t>_____________________________ / ________________________</t>
  </si>
  <si>
    <r>
      <rPr>
        <b/>
        <sz val="12"/>
        <color rgb="FFFF0000"/>
        <rFont val="Times New Roman"/>
        <family val="1"/>
        <charset val="204"/>
      </rPr>
      <t>ВНИМАНИЕ!!!</t>
    </r>
    <r>
      <rPr>
        <b/>
        <sz val="11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Выберите раздел (нажать "+" с левой стороны таблице)                                                                                                                                                                                                                                                           2. В выбранном разделе выберите необъходимый подраздел                                                                                                                                                                                                                                               3.Внесите данные в графу "Количество"</t>
    </r>
  </si>
  <si>
    <r>
      <t>Zкл</t>
    </r>
    <r>
      <rPr>
        <sz val="12"/>
        <color theme="1"/>
        <rFont val="Times New Roman"/>
        <family val="1"/>
        <charset val="204"/>
      </rPr>
      <t>(ал)</t>
    </r>
  </si>
  <si>
    <r>
      <t>Zкл</t>
    </r>
    <r>
      <rPr>
        <sz val="10"/>
        <color theme="1"/>
        <rFont val="Times New Roman"/>
        <family val="1"/>
        <charset val="204"/>
      </rPr>
      <t xml:space="preserve">(мед) </t>
    </r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</si>
  <si>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 в ценах периода регулирования</t>
  </si>
  <si>
    <r>
      <t>На подготовку и выдачу сетевой организацией технических условий С</t>
    </r>
    <r>
      <rPr>
        <sz val="10"/>
        <color theme="1"/>
        <rFont val="Times New Roman"/>
        <family val="1"/>
        <charset val="204"/>
      </rPr>
      <t>1.1</t>
    </r>
  </si>
  <si>
    <r>
      <t>Проверка сетевой организацией выполнения заявителем технических условий С</t>
    </r>
    <r>
      <rPr>
        <sz val="10"/>
        <color theme="1"/>
        <rFont val="Times New Roman"/>
        <family val="1"/>
        <charset val="204"/>
      </rPr>
      <t>1.2</t>
    </r>
    <r>
      <rPr>
        <sz val="12"/>
        <color theme="1"/>
        <rFont val="Times New Roman"/>
        <family val="1"/>
        <charset val="204"/>
      </rPr>
      <t xml:space="preserve"> </t>
    </r>
  </si>
  <si>
    <r>
      <t>Участие сетевой организации в осмотре (обследовании) должностным лицом органа федерального государственного энергетического надзора присоединяемых устройств С</t>
    </r>
    <r>
      <rPr>
        <sz val="10"/>
        <color theme="1"/>
        <rFont val="Times New Roman"/>
        <family val="1"/>
        <charset val="204"/>
      </rPr>
      <t>1.3</t>
    </r>
  </si>
  <si>
    <r>
      <t>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коммутационного аппарата в положении "включено" С</t>
    </r>
    <r>
      <rPr>
        <sz val="10"/>
        <color theme="1"/>
        <rFont val="Times New Roman"/>
        <family val="1"/>
        <charset val="204"/>
      </rPr>
      <t>1.4</t>
    </r>
  </si>
  <si>
    <t>Z пр</t>
  </si>
  <si>
    <r>
      <t xml:space="preserve">Наименование </t>
    </r>
    <r>
      <rPr>
        <sz val="11"/>
        <color theme="1"/>
        <rFont val="Times New Roman"/>
        <family val="1"/>
        <charset val="204"/>
      </rPr>
      <t xml:space="preserve">стандартизированных тарифных ставок </t>
    </r>
  </si>
  <si>
    <r>
      <t>КЛ 6-10 кВ кабелем марки АПвПу сечением до 3х(1х400 мм</t>
    </r>
    <r>
      <rPr>
        <sz val="11"/>
        <rFont val="Calibri"/>
        <family val="2"/>
        <charset val="204"/>
      </rPr>
      <t>²</t>
    </r>
    <r>
      <rPr>
        <sz val="11"/>
        <rFont val="Times New Roman"/>
        <family val="1"/>
        <charset val="204"/>
      </rPr>
      <t>) (1 цепное исполнение)</t>
    </r>
  </si>
  <si>
    <r>
      <t>P=(C</t>
    </r>
    <r>
      <rPr>
        <b/>
        <sz val="14"/>
        <color theme="1"/>
        <rFont val="Times New Roman"/>
        <family val="1"/>
        <charset val="204"/>
      </rPr>
      <t>1.1</t>
    </r>
    <r>
      <rPr>
        <b/>
        <sz val="18"/>
        <color theme="1"/>
        <rFont val="Times New Roman"/>
        <family val="1"/>
        <charset val="204"/>
      </rPr>
      <t>+С</t>
    </r>
    <r>
      <rPr>
        <b/>
        <sz val="14"/>
        <color theme="1"/>
        <rFont val="Times New Roman"/>
        <family val="1"/>
        <charset val="204"/>
      </rPr>
      <t>1.2</t>
    </r>
    <r>
      <rPr>
        <b/>
        <sz val="18"/>
        <color theme="1"/>
        <rFont val="Times New Roman"/>
        <family val="1"/>
        <charset val="204"/>
      </rPr>
      <t>+С</t>
    </r>
    <r>
      <rPr>
        <b/>
        <sz val="14"/>
        <color theme="1"/>
        <rFont val="Times New Roman"/>
        <family val="1"/>
        <charset val="204"/>
      </rPr>
      <t>1.3</t>
    </r>
    <r>
      <rPr>
        <b/>
        <sz val="18"/>
        <color theme="1"/>
        <rFont val="Times New Roman"/>
        <family val="1"/>
        <charset val="204"/>
      </rPr>
      <t>+С</t>
    </r>
    <r>
      <rPr>
        <b/>
        <sz val="14"/>
        <color theme="1"/>
        <rFont val="Times New Roman"/>
        <family val="1"/>
        <charset val="204"/>
      </rPr>
      <t>1.4</t>
    </r>
    <r>
      <rPr>
        <b/>
        <sz val="18"/>
        <color theme="1"/>
        <rFont val="Times New Roman"/>
        <family val="1"/>
        <charset val="204"/>
      </rPr>
      <t>)*N+C</t>
    </r>
    <r>
      <rPr>
        <b/>
        <sz val="14"/>
        <color theme="1"/>
        <rFont val="Times New Roman"/>
        <family val="1"/>
        <charset val="204"/>
      </rPr>
      <t>2</t>
    </r>
    <r>
      <rPr>
        <b/>
        <sz val="18"/>
        <color theme="1"/>
        <rFont val="Times New Roman"/>
        <family val="1"/>
        <charset val="204"/>
      </rPr>
      <t>*Lвл*Z+C</t>
    </r>
    <r>
      <rPr>
        <b/>
        <sz val="14"/>
        <color theme="1"/>
        <rFont val="Times New Roman"/>
        <family val="1"/>
        <charset val="204"/>
      </rPr>
      <t>3</t>
    </r>
    <r>
      <rPr>
        <b/>
        <sz val="18"/>
        <color theme="1"/>
        <rFont val="Times New Roman"/>
        <family val="1"/>
        <charset val="204"/>
      </rPr>
      <t>*Lкл*Z+C</t>
    </r>
    <r>
      <rPr>
        <b/>
        <sz val="14"/>
        <color theme="1"/>
        <rFont val="Times New Roman"/>
        <family val="1"/>
        <charset val="204"/>
      </rPr>
      <t>4</t>
    </r>
    <r>
      <rPr>
        <b/>
        <sz val="18"/>
        <color theme="1"/>
        <rFont val="Times New Roman"/>
        <family val="1"/>
        <charset val="204"/>
      </rPr>
      <t xml:space="preserve">*N*Z), </t>
    </r>
    <r>
      <rPr>
        <sz val="18"/>
        <color theme="1"/>
        <rFont val="Times New Roman"/>
        <family val="1"/>
        <charset val="204"/>
      </rPr>
      <t xml:space="preserve">и составляет:   </t>
    </r>
    <r>
      <rPr>
        <b/>
        <sz val="18"/>
        <color theme="1"/>
        <rFont val="Times New Roman"/>
        <family val="1"/>
        <charset val="204"/>
      </rPr>
      <t xml:space="preserve">   </t>
    </r>
  </si>
  <si>
    <r>
      <t>С</t>
    </r>
    <r>
      <rPr>
        <sz val="10"/>
        <color theme="1"/>
        <rFont val="Times New Roman"/>
        <family val="1"/>
        <charset val="204"/>
      </rPr>
      <t>1.1.</t>
    </r>
  </si>
  <si>
    <r>
      <t>С</t>
    </r>
    <r>
      <rPr>
        <sz val="10"/>
        <color theme="1"/>
        <rFont val="Times New Roman"/>
        <family val="1"/>
        <charset val="204"/>
      </rPr>
      <t>1.2.</t>
    </r>
  </si>
  <si>
    <r>
      <t>С</t>
    </r>
    <r>
      <rPr>
        <sz val="10"/>
        <color theme="1"/>
        <rFont val="Times New Roman"/>
        <family val="1"/>
        <charset val="204"/>
      </rPr>
      <t>1.3.</t>
    </r>
  </si>
  <si>
    <r>
      <t>С</t>
    </r>
    <r>
      <rPr>
        <sz val="10"/>
        <color theme="1"/>
        <rFont val="Times New Roman"/>
        <family val="1"/>
        <charset val="204"/>
      </rPr>
      <t>1.4.</t>
    </r>
  </si>
  <si>
    <t>i</t>
  </si>
  <si>
    <t>N</t>
  </si>
  <si>
    <r>
      <t>N</t>
    </r>
    <r>
      <rPr>
        <sz val="11"/>
        <color theme="1"/>
        <rFont val="Times New Roman"/>
        <family val="1"/>
        <charset val="204"/>
      </rPr>
      <t>max</t>
    </r>
  </si>
  <si>
    <r>
      <t>Стандартизированная ставка С</t>
    </r>
    <r>
      <rPr>
        <b/>
        <sz val="9"/>
        <color theme="1"/>
        <rFont val="Times New Roman"/>
        <family val="1"/>
        <charset val="204"/>
      </rPr>
      <t>1</t>
    </r>
    <r>
      <rPr>
        <b/>
        <sz val="12"/>
        <color theme="1"/>
        <rFont val="Times New Roman"/>
        <family val="1"/>
        <charset val="204"/>
      </rPr>
      <t>, в том числе:</t>
    </r>
  </si>
  <si>
    <t/>
  </si>
  <si>
    <t>Сумма КЛ(ал)</t>
  </si>
  <si>
    <t>Сумма КЛ(мед)</t>
  </si>
  <si>
    <t>0.4</t>
  </si>
  <si>
    <t>4</t>
  </si>
  <si>
    <t>5</t>
  </si>
  <si>
    <t>Индекс изменения сметной стоимости СМР к териториальным единичным расценкам 2001 года (письмо  Министерства строительства и ЖКХ РФ от 14.12.2015г. №40538-ЕС/05)</t>
  </si>
  <si>
    <r>
      <t xml:space="preserve">Справочные данные в соответствии с Постановлением ГК РБ по тарифам </t>
    </r>
    <r>
      <rPr>
        <b/>
        <sz val="12"/>
        <rFont val="Calibri"/>
        <family val="2"/>
        <charset val="204"/>
        <scheme val="minor"/>
      </rPr>
      <t>№423 от 03.12.2015г.:</t>
    </r>
  </si>
  <si>
    <t>СИП 3, 3х35+1*54,6</t>
  </si>
  <si>
    <t>ВЛИ 0,4 кВ проводом СИП сечением  25 мм² на ж/б опорах</t>
  </si>
  <si>
    <t xml:space="preserve">ВЛИ 0,4 кВ проводом СИП сечением  35 мм² на ж/б опорах </t>
  </si>
  <si>
    <t xml:space="preserve">ВЛИ 0,4 кВ проводом СИП сечением  50 мм² на ж/б опорах </t>
  </si>
  <si>
    <t>СИП-2 3х50+1х54,6</t>
  </si>
  <si>
    <t xml:space="preserve">ВЛИ 0,4 кВ проводом СИП с площадью поперечного сечения  70 мм² на ж/б опорах </t>
  </si>
  <si>
    <t xml:space="preserve">ВЛИ 0,4 кВ проводом СИП с площадью поперечного сечения до 70 мм² </t>
  </si>
  <si>
    <t xml:space="preserve">ВЛЗ 10 кВ с проводом СИП с площадью поперечного сечения  50 мм² на ж/б опорах </t>
  </si>
  <si>
    <t xml:space="preserve">ВЛ 0,4 кВ проводом марки АС сечением  50/8 мм² </t>
  </si>
  <si>
    <t>АС 50/8</t>
  </si>
  <si>
    <t>КТПН-ТВ-40 с трансформатором ТМ-40 кВА на номинальное напряжение 10(6)/0,4кВ</t>
  </si>
  <si>
    <t>Транформатор ТМ40 кВА 10(6) 0,4кВ</t>
  </si>
  <si>
    <t>КТПН-ТВ-63 с трансформатором ТМ-63 кВА на номинальное напряжение 10(6)/0,4кВ</t>
  </si>
  <si>
    <t>Транформатор ТМ 63 кВА 10(6) 0,4кВ</t>
  </si>
  <si>
    <t>КТПН-ТВ-100 с трансформатором ТМ-100 кВА на номинальное напряжение 10(6)/0,4кВ</t>
  </si>
  <si>
    <t>Транформатор ТМ 100 кВА 10(6) 0,4кВ</t>
  </si>
  <si>
    <t>КТПН-ТВ-160 с трансформатором ТМ-160 кВА на номинальное напряжение 10(6)/0,4кВ</t>
  </si>
  <si>
    <t>Транформатор ТМ 160 кВА 10(6) 0,4кВ</t>
  </si>
  <si>
    <t>КТПН-ТВ-250 с трансформатором ТМ-250 кВА на номинальное напряжение 10(6)/0,4кВ</t>
  </si>
  <si>
    <t>Транформатор ТМ 250 кВА 10(6) 0,4кВ</t>
  </si>
  <si>
    <t>КТПН-ТВ-630 с трансформатором ТМ- 630 кВА на номинальное напряжение 10(6)/0,4кВ</t>
  </si>
  <si>
    <t>Транформатор ТМ 630 кВА 10(6) 0,4кВ</t>
  </si>
  <si>
    <t>2КТПН-ТВ-100 с трансформатором ТМГ- 2х100 кВА на номинальное напряжение 10(6)/0,4кВ</t>
  </si>
  <si>
    <t>КТПН-ТВ-1000 с  трансформаторами ТМ- 1000 кВА на номинальное напряжение 10(6)/0,4кВ</t>
  </si>
  <si>
    <t>Транформатор ТМ 1000 кВА 10(6) 0,4кВ</t>
  </si>
  <si>
    <t>Заявитель (ФИО): Государственное казенное учреждение Управление капитального строительства РБ</t>
  </si>
  <si>
    <t>Объект: "Строительство МБОУ средняя общеобразовательная школа №1 в с.Федоровка МР Федоровский район РБ"</t>
  </si>
  <si>
    <t>001-2016</t>
  </si>
  <si>
    <t>Расчет платы за технологическое присоединение к электрическим сетям ООО "ГИП-Электро"</t>
  </si>
  <si>
    <t>Стандартизированные тарифные ставки за технологическое присоединение заявителей к электрическим сетям                                                                                                          ООО "ГИП-Электро" на 2016 год</t>
  </si>
  <si>
    <t>Индекс изменения сметной стоимости СМР к териториальным единичным расценкам 2001 года (письмо  Министерства строительства и ЖКХ РФ от 09.12.2016г. №41695-ХМ/09)</t>
  </si>
  <si>
    <t xml:space="preserve">Заявитель (ФИО): </t>
  </si>
  <si>
    <t xml:space="preserve">Объект: 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</si>
</sst>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5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Arial Narrow"/>
      <family val="2"/>
      <charset val="204"/>
    </font>
    <font>
      <u/>
      <sz val="12"/>
      <color theme="10"/>
      <name val="Arial Narrow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MS Sans Serif"/>
      <family val="2"/>
    </font>
    <font>
      <sz val="8"/>
      <name val="Helv"/>
    </font>
    <font>
      <sz val="11"/>
      <color rgb="FFFF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4"/>
      <color rgb="FFFFFFCC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FFFFCC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164" fontId="26" fillId="0" borderId="0" applyFont="0" applyFill="0" applyBorder="0" applyAlignment="0" applyProtection="0"/>
    <xf numFmtId="0" fontId="28" fillId="0" borderId="0"/>
    <xf numFmtId="0" fontId="29" fillId="0" borderId="0">
      <alignment horizontal="left"/>
    </xf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617">
    <xf numFmtId="0" fontId="0" fillId="0" borderId="0" xfId="0"/>
    <xf numFmtId="0" fontId="5" fillId="0" borderId="0" xfId="1" applyFont="1" applyFill="1" applyAlignment="1" applyProtection="1">
      <alignment horizontal="left" vertical="justify" wrapText="1"/>
    </xf>
    <xf numFmtId="0" fontId="0" fillId="0" borderId="0" xfId="0" applyAlignment="1" applyProtection="1">
      <alignment horizontal="left" vertical="justify" wrapText="1"/>
    </xf>
    <xf numFmtId="0" fontId="12" fillId="0" borderId="7" xfId="2" applyFont="1" applyBorder="1" applyAlignment="1" applyProtection="1">
      <alignment horizontal="left" vertical="justify" wrapText="1"/>
    </xf>
    <xf numFmtId="0" fontId="12" fillId="0" borderId="8" xfId="2" applyFont="1" applyBorder="1" applyAlignment="1" applyProtection="1">
      <alignment horizontal="left" vertical="justify" wrapText="1"/>
    </xf>
    <xf numFmtId="49" fontId="2" fillId="0" borderId="0" xfId="2" applyNumberFormat="1" applyFont="1" applyBorder="1" applyAlignment="1" applyProtection="1">
      <alignment horizontal="left" vertical="justify" wrapText="1"/>
    </xf>
    <xf numFmtId="0" fontId="11" fillId="0" borderId="1" xfId="4" applyFont="1" applyFill="1" applyBorder="1" applyAlignment="1" applyProtection="1">
      <alignment horizontal="left" vertical="justify" wrapText="1"/>
    </xf>
    <xf numFmtId="0" fontId="1" fillId="0" borderId="0" xfId="3" applyFont="1" applyAlignment="1" applyProtection="1">
      <alignment horizontal="left" vertical="justify" wrapText="1"/>
    </xf>
    <xf numFmtId="0" fontId="7" fillId="0" borderId="0" xfId="1" applyFont="1" applyAlignment="1" applyProtection="1">
      <alignment horizontal="left" vertical="justify" wrapText="1"/>
    </xf>
    <xf numFmtId="0" fontId="9" fillId="0" borderId="0" xfId="0" applyFont="1" applyAlignment="1" applyProtection="1">
      <alignment horizontal="left" vertical="justify" wrapText="1"/>
    </xf>
    <xf numFmtId="49" fontId="4" fillId="0" borderId="0" xfId="1" applyNumberFormat="1" applyFont="1" applyAlignment="1" applyProtection="1">
      <alignment horizontal="left" vertical="justify" wrapText="1"/>
    </xf>
    <xf numFmtId="0" fontId="4" fillId="0" borderId="0" xfId="1" applyFont="1" applyAlignment="1" applyProtection="1">
      <alignment horizontal="left" vertical="justify" wrapText="1"/>
    </xf>
    <xf numFmtId="0" fontId="8" fillId="0" borderId="0" xfId="2" applyFont="1" applyBorder="1" applyAlignment="1" applyProtection="1">
      <alignment horizontal="left" vertical="justify" wrapText="1"/>
    </xf>
    <xf numFmtId="0" fontId="18" fillId="0" borderId="0" xfId="0" applyFont="1" applyFill="1" applyBorder="1" applyAlignment="1" applyProtection="1">
      <alignment horizontal="left" vertical="justify" wrapText="1"/>
    </xf>
    <xf numFmtId="49" fontId="0" fillId="0" borderId="0" xfId="0" applyNumberFormat="1" applyAlignment="1" applyProtection="1">
      <alignment horizontal="left" vertical="justify" wrapText="1"/>
    </xf>
    <xf numFmtId="0" fontId="5" fillId="0" borderId="0" xfId="1" applyFont="1" applyAlignment="1" applyProtection="1">
      <alignment horizontal="left" vertical="justify" wrapText="1"/>
    </xf>
    <xf numFmtId="49" fontId="6" fillId="0" borderId="0" xfId="0" applyNumberFormat="1" applyFont="1" applyBorder="1" applyAlignment="1" applyProtection="1">
      <alignment horizontal="left" vertical="justify" wrapText="1"/>
    </xf>
    <xf numFmtId="4" fontId="6" fillId="0" borderId="0" xfId="0" applyNumberFormat="1" applyFont="1" applyBorder="1" applyAlignment="1" applyProtection="1">
      <alignment horizontal="left" vertical="justify" wrapText="1"/>
    </xf>
    <xf numFmtId="49" fontId="11" fillId="0" borderId="0" xfId="2" applyNumberFormat="1" applyFont="1" applyAlignment="1" applyProtection="1">
      <alignment horizontal="left" vertical="justify" wrapText="1"/>
    </xf>
    <xf numFmtId="0" fontId="2" fillId="0" borderId="0" xfId="2" applyFont="1" applyAlignment="1" applyProtection="1">
      <alignment horizontal="left" vertical="justify" wrapText="1"/>
    </xf>
    <xf numFmtId="49" fontId="2" fillId="0" borderId="0" xfId="2" applyNumberFormat="1" applyFont="1" applyAlignment="1" applyProtection="1">
      <alignment horizontal="left" vertical="justify" wrapText="1"/>
    </xf>
    <xf numFmtId="0" fontId="0" fillId="0" borderId="0" xfId="0" applyBorder="1" applyAlignment="1" applyProtection="1">
      <alignment horizontal="left" vertical="justify" wrapText="1"/>
    </xf>
    <xf numFmtId="49" fontId="11" fillId="0" borderId="1" xfId="2" applyNumberFormat="1" applyFont="1" applyBorder="1" applyAlignment="1" applyProtection="1">
      <alignment horizontal="left" vertical="justify" wrapText="1"/>
    </xf>
    <xf numFmtId="0" fontId="11" fillId="0" borderId="1" xfId="2" applyFont="1" applyBorder="1" applyAlignment="1" applyProtection="1">
      <alignment horizontal="left" vertical="justify" wrapText="1"/>
    </xf>
    <xf numFmtId="0" fontId="11" fillId="0" borderId="8" xfId="2" applyFont="1" applyBorder="1" applyAlignment="1" applyProtection="1">
      <alignment horizontal="left" vertical="justify" wrapText="1"/>
    </xf>
    <xf numFmtId="0" fontId="11" fillId="0" borderId="1" xfId="0" applyFont="1" applyBorder="1" applyAlignment="1" applyProtection="1">
      <alignment horizontal="left" vertical="justify" wrapText="1"/>
    </xf>
    <xf numFmtId="4" fontId="11" fillId="0" borderId="1" xfId="2" applyNumberFormat="1" applyFont="1" applyBorder="1" applyAlignment="1" applyProtection="1">
      <alignment horizontal="left" vertical="justify" wrapText="1"/>
    </xf>
    <xf numFmtId="1" fontId="11" fillId="0" borderId="1" xfId="0" applyNumberFormat="1" applyFont="1" applyBorder="1" applyAlignment="1" applyProtection="1">
      <alignment horizontal="left" vertical="justify" wrapText="1"/>
    </xf>
    <xf numFmtId="4" fontId="11" fillId="0" borderId="3" xfId="2" applyNumberFormat="1" applyFont="1" applyBorder="1" applyAlignment="1" applyProtection="1">
      <alignment horizontal="left" vertical="justify" wrapText="1"/>
    </xf>
    <xf numFmtId="4" fontId="11" fillId="0" borderId="10" xfId="2" applyNumberFormat="1" applyFont="1" applyBorder="1" applyAlignment="1" applyProtection="1">
      <alignment horizontal="left" vertical="justify" wrapText="1"/>
    </xf>
    <xf numFmtId="4" fontId="11" fillId="0" borderId="11" xfId="2" applyNumberFormat="1" applyFont="1" applyBorder="1" applyAlignment="1" applyProtection="1">
      <alignment horizontal="left" vertical="justify" wrapText="1"/>
    </xf>
    <xf numFmtId="0" fontId="2" fillId="0" borderId="0" xfId="2" applyFont="1" applyBorder="1" applyAlignment="1" applyProtection="1">
      <alignment horizontal="left" vertical="justify" wrapText="1"/>
    </xf>
    <xf numFmtId="0" fontId="2" fillId="0" borderId="0" xfId="2" applyFont="1" applyFill="1" applyAlignment="1" applyProtection="1">
      <alignment horizontal="left" vertical="justify" wrapText="1"/>
    </xf>
    <xf numFmtId="0" fontId="11" fillId="0" borderId="1" xfId="2" applyFont="1" applyFill="1" applyBorder="1" applyAlignment="1" applyProtection="1">
      <alignment horizontal="left" vertical="justify" wrapText="1"/>
    </xf>
    <xf numFmtId="0" fontId="2" fillId="0" borderId="0" xfId="6" applyFont="1" applyAlignment="1" applyProtection="1">
      <alignment horizontal="left" vertical="justify" wrapText="1"/>
    </xf>
    <xf numFmtId="4" fontId="11" fillId="0" borderId="1" xfId="2" applyNumberFormat="1" applyFont="1" applyFill="1" applyBorder="1" applyAlignment="1" applyProtection="1">
      <alignment horizontal="left" vertical="justify" wrapText="1"/>
    </xf>
    <xf numFmtId="0" fontId="2" fillId="0" borderId="0" xfId="0" applyFont="1" applyAlignment="1" applyProtection="1">
      <alignment horizontal="left" vertical="justify" wrapText="1"/>
    </xf>
    <xf numFmtId="4" fontId="12" fillId="0" borderId="1" xfId="2" applyNumberFormat="1" applyFont="1" applyFill="1" applyBorder="1" applyAlignment="1" applyProtection="1">
      <alignment horizontal="left" vertical="justify" wrapText="1"/>
    </xf>
    <xf numFmtId="49" fontId="11" fillId="0" borderId="1" xfId="4" applyNumberFormat="1" applyFont="1" applyBorder="1" applyAlignment="1" applyProtection="1">
      <alignment horizontal="left" vertical="justify" wrapText="1"/>
    </xf>
    <xf numFmtId="2" fontId="11" fillId="0" borderId="1" xfId="4" applyNumberFormat="1" applyFont="1" applyFill="1" applyBorder="1" applyAlignment="1" applyProtection="1">
      <alignment horizontal="left" vertical="justify" wrapText="1"/>
    </xf>
    <xf numFmtId="2" fontId="11" fillId="0" borderId="1" xfId="0" applyNumberFormat="1" applyFont="1" applyFill="1" applyBorder="1" applyAlignment="1" applyProtection="1">
      <alignment horizontal="left" vertical="justify" wrapText="1"/>
    </xf>
    <xf numFmtId="49" fontId="11" fillId="0" borderId="0" xfId="3" applyNumberFormat="1" applyFont="1" applyAlignment="1" applyProtection="1">
      <alignment horizontal="left" vertical="justify" wrapText="1"/>
    </xf>
    <xf numFmtId="0" fontId="2" fillId="0" borderId="0" xfId="3" applyFont="1" applyAlignment="1" applyProtection="1">
      <alignment horizontal="left" vertical="justify" wrapText="1"/>
    </xf>
    <xf numFmtId="49" fontId="11" fillId="0" borderId="0" xfId="2" applyNumberFormat="1" applyFont="1" applyBorder="1" applyAlignment="1" applyProtection="1">
      <alignment horizontal="left" vertical="justify" wrapText="1"/>
    </xf>
    <xf numFmtId="49" fontId="1" fillId="0" borderId="0" xfId="0" applyNumberFormat="1" applyFont="1" applyAlignment="1" applyProtection="1">
      <alignment horizontal="left" vertical="justify" wrapText="1"/>
    </xf>
    <xf numFmtId="49" fontId="0" fillId="0" borderId="0" xfId="0" applyNumberFormat="1" applyAlignment="1">
      <alignment vertical="top"/>
    </xf>
    <xf numFmtId="49" fontId="13" fillId="0" borderId="0" xfId="0" applyNumberFormat="1" applyFont="1" applyAlignment="1">
      <alignment vertical="top"/>
    </xf>
    <xf numFmtId="49" fontId="0" fillId="0" borderId="0" xfId="0" applyNumberFormat="1"/>
    <xf numFmtId="0" fontId="0" fillId="0" borderId="0" xfId="0" applyBorder="1"/>
    <xf numFmtId="49" fontId="0" fillId="0" borderId="0" xfId="0" applyNumberForma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49" fontId="34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49" fontId="30" fillId="0" borderId="0" xfId="0" applyNumberFormat="1" applyFont="1" applyAlignment="1" applyProtection="1">
      <alignment horizontal="center" vertical="center"/>
      <protection hidden="1"/>
    </xf>
    <xf numFmtId="0" fontId="32" fillId="6" borderId="6" xfId="0" applyFont="1" applyFill="1" applyBorder="1" applyAlignment="1" applyProtection="1">
      <alignment horizontal="center" vertical="center" wrapText="1"/>
      <protection hidden="1"/>
    </xf>
    <xf numFmtId="0" fontId="31" fillId="6" borderId="6" xfId="0" applyFont="1" applyFill="1" applyBorder="1" applyAlignment="1" applyProtection="1">
      <alignment horizontal="center" vertical="center" wrapText="1"/>
      <protection hidden="1"/>
    </xf>
    <xf numFmtId="4" fontId="0" fillId="0" borderId="0" xfId="0" applyNumberFormat="1" applyFill="1" applyAlignment="1" applyProtection="1">
      <alignment horizontal="center" vertical="top"/>
      <protection hidden="1"/>
    </xf>
    <xf numFmtId="4" fontId="13" fillId="0" borderId="0" xfId="0" applyNumberFormat="1" applyFont="1" applyFill="1" applyAlignment="1" applyProtection="1">
      <alignment horizontal="center" vertical="top"/>
      <protection hidden="1"/>
    </xf>
    <xf numFmtId="4" fontId="0" fillId="0" borderId="0" xfId="0" applyNumberFormat="1" applyFill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top"/>
      <protection hidden="1"/>
    </xf>
    <xf numFmtId="0" fontId="23" fillId="0" borderId="0" xfId="0" applyFont="1" applyFill="1" applyBorder="1" applyAlignment="1" applyProtection="1">
      <alignment vertical="top" wrapText="1"/>
      <protection hidden="1"/>
    </xf>
    <xf numFmtId="2" fontId="30" fillId="0" borderId="0" xfId="0" applyNumberFormat="1" applyFont="1" applyAlignment="1" applyProtection="1">
      <alignment horizontal="center" vertical="center"/>
      <protection hidden="1"/>
    </xf>
    <xf numFmtId="0" fontId="34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vertical="justify" wrapText="1"/>
    </xf>
    <xf numFmtId="0" fontId="7" fillId="0" borderId="0" xfId="1" applyFont="1" applyFill="1" applyBorder="1" applyAlignment="1" applyProtection="1">
      <alignment vertical="justify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6" fillId="0" borderId="22" xfId="0" applyNumberFormat="1" applyFont="1" applyBorder="1" applyAlignment="1" applyProtection="1">
      <alignment horizontal="left" vertical="justify" wrapText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1" fillId="5" borderId="21" xfId="0" applyFont="1" applyFill="1" applyBorder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49" fontId="0" fillId="0" borderId="0" xfId="0" applyNumberFormat="1" applyBorder="1" applyAlignment="1" applyProtection="1">
      <alignment horizontal="center" vertical="center"/>
      <protection hidden="1"/>
    </xf>
    <xf numFmtId="49" fontId="11" fillId="0" borderId="3" xfId="2" applyNumberFormat="1" applyFont="1" applyBorder="1" applyAlignment="1" applyProtection="1">
      <alignment vertical="justify" wrapText="1"/>
    </xf>
    <xf numFmtId="0" fontId="16" fillId="0" borderId="0" xfId="1" applyFont="1" applyFill="1" applyBorder="1" applyAlignment="1" applyProtection="1">
      <alignment vertical="justify" wrapText="1"/>
    </xf>
    <xf numFmtId="0" fontId="12" fillId="0" borderId="9" xfId="2" applyFont="1" applyBorder="1" applyAlignment="1" applyProtection="1">
      <alignment vertical="justify" wrapText="1"/>
    </xf>
    <xf numFmtId="0" fontId="12" fillId="0" borderId="7" xfId="2" applyFont="1" applyBorder="1" applyAlignment="1" applyProtection="1">
      <alignment vertical="justify" wrapText="1"/>
    </xf>
    <xf numFmtId="0" fontId="12" fillId="0" borderId="8" xfId="2" applyFont="1" applyBorder="1" applyAlignment="1" applyProtection="1">
      <alignment vertical="justify" wrapText="1"/>
    </xf>
    <xf numFmtId="0" fontId="11" fillId="0" borderId="1" xfId="2" applyFont="1" applyBorder="1" applyAlignment="1" applyProtection="1">
      <alignment horizontal="right" vertical="justify" wrapText="1"/>
    </xf>
    <xf numFmtId="0" fontId="3" fillId="0" borderId="1" xfId="0" applyFont="1" applyBorder="1" applyAlignment="1">
      <alignment vertical="center" wrapText="1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20" fillId="6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15" fillId="0" borderId="0" xfId="0" applyFont="1" applyFill="1" applyAlignment="1" applyProtection="1">
      <alignment horizontal="center" vertical="center" wrapText="1"/>
      <protection hidden="1"/>
    </xf>
    <xf numFmtId="49" fontId="3" fillId="0" borderId="0" xfId="0" applyNumberFormat="1" applyFont="1" applyAlignment="1" applyProtection="1">
      <alignment horizontal="left" vertical="justify" wrapText="1"/>
    </xf>
    <xf numFmtId="0" fontId="3" fillId="0" borderId="0" xfId="5" applyFont="1" applyFill="1" applyAlignment="1" applyProtection="1">
      <alignment horizontal="left" vertical="justify" wrapText="1"/>
    </xf>
    <xf numFmtId="0" fontId="11" fillId="0" borderId="0" xfId="2" applyFont="1" applyBorder="1" applyAlignment="1" applyProtection="1">
      <alignment horizontal="left" vertical="justify" wrapText="1"/>
    </xf>
    <xf numFmtId="0" fontId="3" fillId="0" borderId="0" xfId="2" applyFont="1" applyAlignment="1" applyProtection="1">
      <alignment vertical="justify" wrapText="1"/>
    </xf>
    <xf numFmtId="0" fontId="2" fillId="0" borderId="0" xfId="2" applyFont="1" applyAlignment="1" applyProtection="1">
      <alignment vertical="justify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justify" wrapText="1"/>
    </xf>
    <xf numFmtId="0" fontId="40" fillId="0" borderId="0" xfId="1" applyFont="1" applyFill="1" applyBorder="1" applyAlignment="1" applyProtection="1">
      <alignment vertical="justify" wrapText="1"/>
    </xf>
    <xf numFmtId="4" fontId="3" fillId="0" borderId="1" xfId="2" applyNumberFormat="1" applyFont="1" applyBorder="1" applyAlignment="1" applyProtection="1">
      <alignment horizontal="left" vertical="justify" wrapText="1"/>
    </xf>
    <xf numFmtId="4" fontId="3" fillId="3" borderId="1" xfId="2" applyNumberFormat="1" applyFont="1" applyFill="1" applyBorder="1" applyAlignment="1" applyProtection="1">
      <alignment horizontal="left" vertical="justify" wrapText="1"/>
    </xf>
    <xf numFmtId="0" fontId="19" fillId="0" borderId="0" xfId="0" applyFont="1" applyFill="1" applyBorder="1" applyAlignment="1" applyProtection="1">
      <alignment horizontal="left" vertical="justify" wrapText="1"/>
    </xf>
    <xf numFmtId="0" fontId="3" fillId="0" borderId="0" xfId="0" applyFont="1" applyAlignment="1" applyProtection="1">
      <alignment vertical="center" wrapText="1"/>
    </xf>
    <xf numFmtId="0" fontId="19" fillId="0" borderId="0" xfId="0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horizontal="left" vertical="justify" wrapText="1"/>
    </xf>
    <xf numFmtId="0" fontId="0" fillId="0" borderId="0" xfId="0" applyFill="1" applyAlignment="1" applyProtection="1">
      <alignment horizontal="left" vertical="justify" wrapText="1"/>
    </xf>
    <xf numFmtId="0" fontId="13" fillId="0" borderId="0" xfId="0" applyFont="1" applyFill="1" applyAlignment="1" applyProtection="1">
      <alignment horizontal="left" vertical="justify" wrapText="1"/>
    </xf>
    <xf numFmtId="4" fontId="41" fillId="0" borderId="0" xfId="0" applyNumberFormat="1" applyFont="1" applyBorder="1" applyAlignment="1" applyProtection="1">
      <alignment horizontal="left" vertical="justify" wrapText="1"/>
    </xf>
    <xf numFmtId="0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9" fillId="0" borderId="0" xfId="0" applyFont="1" applyFill="1" applyBorder="1" applyAlignment="1" applyProtection="1">
      <alignment horizontal="center" vertical="center" wrapText="1"/>
      <protection hidden="1"/>
    </xf>
    <xf numFmtId="49" fontId="31" fillId="0" borderId="0" xfId="0" applyNumberFormat="1" applyFont="1" applyFill="1" applyBorder="1" applyAlignment="1" applyProtection="1">
      <alignment vertical="center" wrapText="1"/>
      <protection hidden="1"/>
    </xf>
    <xf numFmtId="4" fontId="32" fillId="0" borderId="0" xfId="0" applyNumberFormat="1" applyFont="1" applyFill="1" applyBorder="1" applyAlignment="1" applyProtection="1">
      <alignment horizontal="center" vertical="center" wrapText="1"/>
      <protection hidden="1"/>
    </xf>
    <xf numFmtId="4" fontId="17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 applyProtection="1">
      <alignment vertical="center" wrapText="1"/>
      <protection hidden="1"/>
    </xf>
    <xf numFmtId="4" fontId="17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vertical="center" wrapText="1"/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4" fontId="0" fillId="0" borderId="0" xfId="0" applyNumberFormat="1" applyFill="1" applyBorder="1" applyAlignment="1" applyProtection="1">
      <alignment horizontal="center" vertical="top"/>
      <protection hidden="1"/>
    </xf>
    <xf numFmtId="4" fontId="13" fillId="0" borderId="0" xfId="0" applyNumberFormat="1" applyFont="1" applyFill="1" applyBorder="1" applyAlignment="1" applyProtection="1">
      <alignment horizontal="center" vertical="top"/>
      <protection hidden="1"/>
    </xf>
    <xf numFmtId="4" fontId="0" fillId="0" borderId="0" xfId="0" applyNumberFormat="1" applyFill="1" applyBorder="1" applyAlignment="1" applyProtection="1">
      <alignment horizontal="center"/>
      <protection hidden="1"/>
    </xf>
    <xf numFmtId="49" fontId="42" fillId="0" borderId="0" xfId="0" applyNumberFormat="1" applyFont="1" applyAlignment="1" applyProtection="1">
      <alignment vertical="center" wrapText="1"/>
    </xf>
    <xf numFmtId="2" fontId="30" fillId="0" borderId="0" xfId="0" applyNumberFormat="1" applyFont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 vertical="justify" wrapText="1"/>
    </xf>
    <xf numFmtId="0" fontId="16" fillId="0" borderId="0" xfId="1" applyFont="1" applyFill="1" applyBorder="1" applyAlignment="1" applyProtection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2" fillId="0" borderId="0" xfId="2" applyFont="1" applyAlignment="1" applyProtection="1">
      <alignment horizontal="right" vertical="justify" wrapText="1"/>
    </xf>
    <xf numFmtId="0" fontId="12" fillId="0" borderId="10" xfId="2" applyFont="1" applyFill="1" applyBorder="1" applyAlignment="1" applyProtection="1">
      <alignment vertical="justify" wrapText="1"/>
    </xf>
    <xf numFmtId="0" fontId="11" fillId="0" borderId="10" xfId="0" applyFont="1" applyBorder="1" applyAlignment="1" applyProtection="1">
      <alignment horizontal="left" vertical="justify" wrapText="1"/>
    </xf>
    <xf numFmtId="0" fontId="5" fillId="0" borderId="30" xfId="2" applyFont="1" applyBorder="1" applyAlignment="1" applyProtection="1">
      <alignment horizontal="left" vertical="justify" wrapText="1"/>
    </xf>
    <xf numFmtId="0" fontId="3" fillId="0" borderId="35" xfId="2" applyFont="1" applyBorder="1" applyAlignment="1" applyProtection="1">
      <alignment horizontal="center" vertical="justify" wrapText="1"/>
    </xf>
    <xf numFmtId="4" fontId="3" fillId="0" borderId="1" xfId="2" applyNumberFormat="1" applyFont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center" vertical="center" wrapText="1"/>
    </xf>
    <xf numFmtId="2" fontId="3" fillId="0" borderId="32" xfId="4" applyNumberFormat="1" applyFont="1" applyFill="1" applyBorder="1" applyAlignment="1" applyProtection="1">
      <alignment horizontal="center" vertical="justify" wrapText="1"/>
    </xf>
    <xf numFmtId="2" fontId="3" fillId="0" borderId="32" xfId="0" applyNumberFormat="1" applyFont="1" applyFill="1" applyBorder="1" applyAlignment="1" applyProtection="1">
      <alignment horizontal="center" vertical="justify" wrapText="1"/>
    </xf>
    <xf numFmtId="2" fontId="3" fillId="0" borderId="33" xfId="0" applyNumberFormat="1" applyFont="1" applyFill="1" applyBorder="1" applyAlignment="1" applyProtection="1">
      <alignment horizontal="center" vertical="justify" wrapText="1"/>
    </xf>
    <xf numFmtId="0" fontId="3" fillId="9" borderId="1" xfId="1" applyFont="1" applyFill="1" applyBorder="1" applyAlignment="1" applyProtection="1">
      <alignment horizontal="center" vertical="center" wrapText="1"/>
      <protection locked="0"/>
    </xf>
    <xf numFmtId="49" fontId="11" fillId="0" borderId="0" xfId="2" applyNumberFormat="1" applyFont="1" applyAlignment="1" applyProtection="1">
      <alignment horizontal="left" vertical="justify" wrapText="1"/>
    </xf>
    <xf numFmtId="49" fontId="3" fillId="0" borderId="0" xfId="1" applyNumberFormat="1" applyFont="1" applyFill="1" applyAlignment="1" applyProtection="1">
      <alignment horizontal="left" vertical="center" wrapText="1"/>
    </xf>
    <xf numFmtId="0" fontId="10" fillId="0" borderId="0" xfId="1" applyFont="1" applyFill="1" applyAlignment="1" applyProtection="1">
      <alignment horizontal="left" vertical="justify" wrapText="1"/>
    </xf>
    <xf numFmtId="0" fontId="13" fillId="0" borderId="0" xfId="0" applyFont="1" applyAlignment="1" applyProtection="1">
      <alignment horizontal="left" vertical="justify" wrapText="1"/>
    </xf>
    <xf numFmtId="49" fontId="13" fillId="0" borderId="0" xfId="0" applyNumberFormat="1" applyFont="1" applyAlignment="1" applyProtection="1">
      <alignment horizontal="left" vertical="justify" wrapText="1"/>
    </xf>
    <xf numFmtId="49" fontId="7" fillId="0" borderId="0" xfId="0" applyNumberFormat="1" applyFont="1" applyBorder="1" applyAlignment="1" applyProtection="1">
      <alignment horizontal="right" vertical="center" wrapText="1"/>
    </xf>
    <xf numFmtId="4" fontId="7" fillId="0" borderId="0" xfId="0" applyNumberFormat="1" applyFont="1" applyBorder="1" applyAlignment="1" applyProtection="1">
      <alignment horizontal="right" vertical="center" wrapText="1"/>
    </xf>
    <xf numFmtId="4" fontId="45" fillId="0" borderId="0" xfId="0" applyNumberFormat="1" applyFont="1" applyBorder="1" applyAlignment="1" applyProtection="1">
      <alignment horizontal="left" vertical="justify" wrapText="1"/>
    </xf>
    <xf numFmtId="0" fontId="44" fillId="0" borderId="0" xfId="0" applyFont="1" applyAlignment="1" applyProtection="1">
      <alignment horizontal="left" vertical="justify" wrapText="1"/>
    </xf>
    <xf numFmtId="49" fontId="45" fillId="0" borderId="0" xfId="0" applyNumberFormat="1" applyFont="1" applyBorder="1" applyAlignment="1" applyProtection="1">
      <alignment horizontal="left" vertical="justify" wrapText="1"/>
    </xf>
    <xf numFmtId="4" fontId="3" fillId="0" borderId="0" xfId="2" applyNumberFormat="1" applyFont="1" applyBorder="1" applyAlignment="1" applyProtection="1">
      <alignment horizontal="left" vertical="justify" wrapText="1"/>
    </xf>
    <xf numFmtId="4" fontId="3" fillId="3" borderId="0" xfId="2" applyNumberFormat="1" applyFont="1" applyFill="1" applyBorder="1" applyAlignment="1" applyProtection="1">
      <alignment horizontal="left" vertical="justify" wrapText="1"/>
    </xf>
    <xf numFmtId="0" fontId="3" fillId="0" borderId="29" xfId="2" applyFont="1" applyBorder="1" applyAlignment="1" applyProtection="1">
      <alignment horizontal="center" vertical="center" wrapText="1"/>
    </xf>
    <xf numFmtId="49" fontId="5" fillId="0" borderId="41" xfId="2" applyNumberFormat="1" applyFont="1" applyBorder="1" applyAlignment="1" applyProtection="1">
      <alignment horizontal="left" vertical="center" wrapText="1"/>
    </xf>
    <xf numFmtId="49" fontId="5" fillId="0" borderId="0" xfId="2" applyNumberFormat="1" applyFont="1" applyBorder="1" applyAlignment="1" applyProtection="1">
      <alignment horizontal="left" vertical="center" wrapText="1"/>
    </xf>
    <xf numFmtId="49" fontId="5" fillId="0" borderId="12" xfId="2" applyNumberFormat="1" applyFont="1" applyBorder="1" applyAlignment="1" applyProtection="1">
      <alignment horizontal="left" vertical="center" wrapText="1"/>
    </xf>
    <xf numFmtId="0" fontId="5" fillId="0" borderId="8" xfId="2" applyFont="1" applyBorder="1" applyAlignment="1" applyProtection="1">
      <alignment horizontal="left" vertical="justify" wrapText="1"/>
    </xf>
    <xf numFmtId="49" fontId="11" fillId="0" borderId="11" xfId="2" applyNumberFormat="1" applyFont="1" applyBorder="1" applyAlignment="1" applyProtection="1">
      <alignment vertical="justify" wrapText="1"/>
    </xf>
    <xf numFmtId="0" fontId="5" fillId="0" borderId="41" xfId="4" applyFont="1" applyFill="1" applyBorder="1" applyAlignment="1" applyProtection="1">
      <alignment horizontal="left" vertical="center" wrapText="1"/>
    </xf>
    <xf numFmtId="0" fontId="5" fillId="0" borderId="43" xfId="4" applyFont="1" applyFill="1" applyBorder="1" applyAlignment="1" applyProtection="1">
      <alignment horizontal="left" vertical="center" wrapText="1"/>
    </xf>
    <xf numFmtId="49" fontId="11" fillId="0" borderId="17" xfId="2" applyNumberFormat="1" applyFont="1" applyBorder="1" applyAlignment="1" applyProtection="1">
      <alignment vertical="justify" wrapText="1"/>
    </xf>
    <xf numFmtId="0" fontId="10" fillId="0" borderId="0" xfId="1" applyFont="1" applyFill="1" applyAlignment="1" applyProtection="1">
      <alignment vertical="justify" wrapText="1"/>
    </xf>
    <xf numFmtId="0" fontId="3" fillId="0" borderId="0" xfId="0" applyFont="1" applyAlignment="1" applyProtection="1">
      <alignment horizontal="left" vertical="center" wrapText="1"/>
    </xf>
    <xf numFmtId="49" fontId="31" fillId="6" borderId="19" xfId="0" applyNumberFormat="1" applyFont="1" applyFill="1" applyBorder="1" applyAlignment="1" applyProtection="1">
      <alignment vertical="center" wrapText="1"/>
      <protection hidden="1"/>
    </xf>
    <xf numFmtId="49" fontId="32" fillId="6" borderId="19" xfId="0" applyNumberFormat="1" applyFont="1" applyFill="1" applyBorder="1" applyAlignment="1" applyProtection="1">
      <alignment horizontal="center" vertical="center" wrapText="1"/>
      <protection hidden="1"/>
    </xf>
    <xf numFmtId="4" fontId="32" fillId="6" borderId="20" xfId="0" applyNumberFormat="1" applyFont="1" applyFill="1" applyBorder="1" applyAlignment="1" applyProtection="1">
      <alignment horizontal="center" vertical="center" wrapText="1"/>
      <protection hidden="1"/>
    </xf>
    <xf numFmtId="0" fontId="31" fillId="6" borderId="20" xfId="0" applyFont="1" applyFill="1" applyBorder="1" applyAlignment="1" applyProtection="1">
      <alignment vertical="center" wrapText="1"/>
      <protection hidden="1"/>
    </xf>
    <xf numFmtId="4" fontId="17" fillId="6" borderId="20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left" vertical="center"/>
      <protection hidden="1"/>
    </xf>
    <xf numFmtId="2" fontId="10" fillId="0" borderId="0" xfId="0" applyNumberFormat="1" applyFont="1" applyFill="1" applyBorder="1" applyProtection="1">
      <protection hidden="1"/>
    </xf>
    <xf numFmtId="49" fontId="20" fillId="0" borderId="6" xfId="0" applyNumberFormat="1" applyFont="1" applyBorder="1" applyAlignment="1" applyProtection="1">
      <alignment horizontal="center" vertical="center" wrapText="1"/>
      <protection hidden="1"/>
    </xf>
    <xf numFmtId="4" fontId="44" fillId="0" borderId="2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4" fontId="4" fillId="0" borderId="33" xfId="0" applyNumberFormat="1" applyFont="1" applyBorder="1" applyAlignment="1">
      <alignment horizontal="center" vertical="center" wrapText="1"/>
    </xf>
    <xf numFmtId="0" fontId="17" fillId="9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22" xfId="0" applyNumberFormat="1" applyFont="1" applyFill="1" applyBorder="1" applyAlignment="1" applyProtection="1">
      <alignment horizontal="center" vertical="center" wrapText="1"/>
      <protection locked="0"/>
    </xf>
    <xf numFmtId="0" fontId="20" fillId="9" borderId="22" xfId="0" applyNumberFormat="1" applyFont="1" applyFill="1" applyBorder="1" applyAlignment="1" applyProtection="1">
      <alignment horizontal="center" vertical="center" wrapText="1"/>
      <protection locked="0"/>
    </xf>
    <xf numFmtId="0" fontId="20" fillId="9" borderId="21" xfId="0" applyNumberFormat="1" applyFont="1" applyFill="1" applyBorder="1" applyAlignment="1" applyProtection="1">
      <alignment horizontal="center" vertical="center" wrapText="1"/>
      <protection locked="0"/>
    </xf>
    <xf numFmtId="0" fontId="35" fillId="7" borderId="16" xfId="0" applyFont="1" applyFill="1" applyBorder="1" applyAlignment="1" applyProtection="1">
      <alignment vertical="center" wrapText="1"/>
      <protection hidden="1"/>
    </xf>
    <xf numFmtId="0" fontId="35" fillId="7" borderId="17" xfId="0" applyFont="1" applyFill="1" applyBorder="1" applyAlignment="1" applyProtection="1">
      <alignment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35" fillId="8" borderId="19" xfId="0" applyFont="1" applyFill="1" applyBorder="1" applyAlignment="1" applyProtection="1">
      <alignment vertical="center" wrapText="1"/>
      <protection hidden="1"/>
    </xf>
    <xf numFmtId="1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30" xfId="2" applyFont="1" applyBorder="1" applyAlignment="1" applyProtection="1">
      <alignment horizontal="left" vertical="center" wrapText="1"/>
    </xf>
    <xf numFmtId="0" fontId="5" fillId="0" borderId="8" xfId="2" applyFont="1" applyBorder="1" applyAlignment="1" applyProtection="1">
      <alignment horizontal="left" vertical="center" wrapText="1"/>
    </xf>
    <xf numFmtId="0" fontId="2" fillId="0" borderId="0" xfId="2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49" fillId="0" borderId="0" xfId="1" applyFont="1" applyAlignment="1" applyProtection="1">
      <alignment horizontal="right" vertical="center"/>
    </xf>
    <xf numFmtId="17" fontId="49" fillId="9" borderId="2" xfId="1" applyNumberFormat="1" applyFont="1" applyFill="1" applyBorder="1" applyAlignment="1" applyProtection="1">
      <alignment vertical="justify" wrapText="1"/>
      <protection locked="0"/>
    </xf>
    <xf numFmtId="0" fontId="49" fillId="9" borderId="2" xfId="1" applyFont="1" applyFill="1" applyBorder="1" applyAlignment="1" applyProtection="1">
      <alignment vertical="justify" wrapText="1"/>
      <protection locked="0"/>
    </xf>
    <xf numFmtId="49" fontId="48" fillId="0" borderId="0" xfId="0" applyNumberFormat="1" applyFont="1" applyAlignment="1" applyProtection="1">
      <alignment horizontal="center" vertical="center" wrapText="1"/>
      <protection hidden="1"/>
    </xf>
    <xf numFmtId="49" fontId="22" fillId="7" borderId="19" xfId="0" applyNumberFormat="1" applyFont="1" applyFill="1" applyBorder="1" applyAlignment="1" applyProtection="1">
      <alignment horizontal="center" vertical="center" wrapText="1"/>
      <protection hidden="1"/>
    </xf>
    <xf numFmtId="49" fontId="22" fillId="8" borderId="19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Font="1" applyAlignment="1" applyProtection="1">
      <alignment vertical="top"/>
      <protection hidden="1"/>
    </xf>
    <xf numFmtId="49" fontId="22" fillId="0" borderId="0" xfId="0" applyNumberFormat="1" applyFont="1" applyFill="1" applyBorder="1" applyAlignment="1" applyProtection="1">
      <alignment horizontal="left" vertical="top" wrapText="1"/>
      <protection hidden="1"/>
    </xf>
    <xf numFmtId="49" fontId="0" fillId="0" borderId="0" xfId="0" applyNumberFormat="1" applyFont="1" applyProtection="1">
      <protection hidden="1"/>
    </xf>
    <xf numFmtId="0" fontId="48" fillId="0" borderId="0" xfId="0" applyFont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vertical="top"/>
      <protection hidden="1"/>
    </xf>
    <xf numFmtId="0" fontId="22" fillId="0" borderId="0" xfId="0" applyFont="1" applyFill="1" applyBorder="1" applyAlignment="1" applyProtection="1">
      <alignment vertical="top" wrapText="1"/>
      <protection hidden="1"/>
    </xf>
    <xf numFmtId="0" fontId="0" fillId="0" borderId="0" xfId="0" applyFont="1" applyProtection="1">
      <protection hidden="1"/>
    </xf>
    <xf numFmtId="0" fontId="33" fillId="8" borderId="17" xfId="0" applyFont="1" applyFill="1" applyBorder="1" applyAlignment="1" applyProtection="1">
      <alignment vertical="center" wrapText="1"/>
      <protection hidden="1"/>
    </xf>
    <xf numFmtId="49" fontId="31" fillId="8" borderId="17" xfId="0" applyNumberFormat="1" applyFont="1" applyFill="1" applyBorder="1" applyAlignment="1" applyProtection="1">
      <alignment vertical="center" wrapText="1"/>
      <protection hidden="1"/>
    </xf>
    <xf numFmtId="0" fontId="18" fillId="0" borderId="0" xfId="0" applyFont="1" applyAlignment="1" applyProtection="1">
      <alignment vertical="center"/>
      <protection hidden="1"/>
    </xf>
    <xf numFmtId="49" fontId="31" fillId="8" borderId="14" xfId="0" applyNumberFormat="1" applyFont="1" applyFill="1" applyBorder="1" applyAlignment="1" applyProtection="1">
      <alignment vertical="center" wrapText="1"/>
      <protection hidden="1"/>
    </xf>
    <xf numFmtId="49" fontId="31" fillId="8" borderId="19" xfId="0" applyNumberFormat="1" applyFont="1" applyFill="1" applyBorder="1" applyAlignment="1" applyProtection="1">
      <alignment vertical="center" wrapText="1"/>
      <protection hidden="1"/>
    </xf>
    <xf numFmtId="0" fontId="20" fillId="8" borderId="20" xfId="0" applyFont="1" applyFill="1" applyBorder="1" applyAlignment="1" applyProtection="1">
      <alignment vertical="center" wrapText="1"/>
      <protection hidden="1"/>
    </xf>
    <xf numFmtId="0" fontId="33" fillId="10" borderId="19" xfId="0" applyFont="1" applyFill="1" applyBorder="1" applyAlignment="1" applyProtection="1">
      <alignment vertical="center" wrapText="1"/>
      <protection hidden="1"/>
    </xf>
    <xf numFmtId="49" fontId="31" fillId="10" borderId="19" xfId="0" applyNumberFormat="1" applyFont="1" applyFill="1" applyBorder="1" applyAlignment="1" applyProtection="1">
      <alignment vertical="center" wrapText="1"/>
      <protection hidden="1"/>
    </xf>
    <xf numFmtId="0" fontId="31" fillId="10" borderId="20" xfId="0" applyFont="1" applyFill="1" applyBorder="1" applyAlignment="1" applyProtection="1">
      <alignment vertical="center" wrapText="1"/>
      <protection hidden="1"/>
    </xf>
    <xf numFmtId="0" fontId="33" fillId="8" borderId="16" xfId="0" applyFont="1" applyFill="1" applyBorder="1" applyAlignment="1" applyProtection="1">
      <alignment vertical="center" wrapText="1"/>
      <protection hidden="1"/>
    </xf>
    <xf numFmtId="0" fontId="33" fillId="6" borderId="19" xfId="0" applyFont="1" applyFill="1" applyBorder="1" applyAlignment="1" applyProtection="1">
      <alignment horizontal="left" vertical="center" wrapText="1"/>
      <protection hidden="1"/>
    </xf>
    <xf numFmtId="49" fontId="0" fillId="0" borderId="0" xfId="0" applyNumberForma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 applyProtection="1">
      <alignment vertical="center"/>
      <protection hidden="1"/>
    </xf>
    <xf numFmtId="0" fontId="0" fillId="4" borderId="0" xfId="0" applyFill="1" applyAlignment="1">
      <alignment vertical="center"/>
    </xf>
    <xf numFmtId="0" fontId="18" fillId="0" borderId="0" xfId="0" applyFont="1" applyAlignment="1">
      <alignment vertical="center"/>
    </xf>
    <xf numFmtId="0" fontId="0" fillId="4" borderId="0" xfId="0" applyFill="1" applyAlignment="1" applyProtection="1">
      <alignment vertical="center"/>
      <protection hidden="1"/>
    </xf>
    <xf numFmtId="0" fontId="31" fillId="5" borderId="6" xfId="0" applyFont="1" applyFill="1" applyBorder="1" applyAlignment="1" applyProtection="1">
      <alignment horizontal="center" vertical="center" wrapText="1"/>
      <protection hidden="1"/>
    </xf>
    <xf numFmtId="0" fontId="50" fillId="5" borderId="13" xfId="0" applyFont="1" applyFill="1" applyBorder="1" applyAlignment="1" applyProtection="1">
      <alignment vertical="center" wrapText="1"/>
      <protection hidden="1"/>
    </xf>
    <xf numFmtId="0" fontId="31" fillId="5" borderId="13" xfId="0" applyFont="1" applyFill="1" applyBorder="1" applyAlignment="1" applyProtection="1">
      <alignment vertical="center" wrapText="1"/>
      <protection hidden="1"/>
    </xf>
    <xf numFmtId="49" fontId="31" fillId="2" borderId="15" xfId="0" applyNumberFormat="1" applyFont="1" applyFill="1" applyBorder="1" applyAlignment="1" applyProtection="1">
      <alignment vertical="center" wrapText="1"/>
      <protection hidden="1"/>
    </xf>
    <xf numFmtId="0" fontId="31" fillId="8" borderId="19" xfId="0" applyFont="1" applyFill="1" applyBorder="1" applyAlignment="1" applyProtection="1">
      <alignment vertical="center" wrapText="1"/>
      <protection hidden="1"/>
    </xf>
    <xf numFmtId="49" fontId="20" fillId="8" borderId="19" xfId="0" applyNumberFormat="1" applyFont="1" applyFill="1" applyBorder="1" applyAlignment="1" applyProtection="1">
      <alignment vertical="center" wrapText="1"/>
      <protection hidden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47" fillId="0" borderId="0" xfId="0" applyFont="1" applyAlignment="1" applyProtection="1">
      <alignment vertical="center"/>
      <protection hidden="1"/>
    </xf>
    <xf numFmtId="2" fontId="0" fillId="0" borderId="0" xfId="0" applyNumberFormat="1" applyAlignment="1" applyProtection="1">
      <alignment vertical="center"/>
      <protection hidden="1"/>
    </xf>
    <xf numFmtId="0" fontId="50" fillId="5" borderId="18" xfId="0" applyFont="1" applyFill="1" applyBorder="1" applyAlignment="1" applyProtection="1">
      <alignment vertical="center" wrapText="1"/>
      <protection hidden="1"/>
    </xf>
    <xf numFmtId="0" fontId="31" fillId="5" borderId="19" xfId="0" applyFont="1" applyFill="1" applyBorder="1" applyAlignment="1" applyProtection="1">
      <alignment vertical="center" wrapText="1"/>
      <protection hidden="1"/>
    </xf>
    <xf numFmtId="49" fontId="31" fillId="2" borderId="21" xfId="0" applyNumberFormat="1" applyFont="1" applyFill="1" applyBorder="1" applyAlignment="1" applyProtection="1">
      <alignment vertical="center" wrapText="1"/>
      <protection hidden="1"/>
    </xf>
    <xf numFmtId="49" fontId="32" fillId="10" borderId="19" xfId="0" applyNumberFormat="1" applyFont="1" applyFill="1" applyBorder="1" applyAlignment="1" applyProtection="1">
      <alignment vertical="center" wrapText="1"/>
      <protection hidden="1"/>
    </xf>
    <xf numFmtId="0" fontId="32" fillId="0" borderId="0" xfId="0" applyFont="1" applyFill="1" applyBorder="1" applyAlignment="1" applyProtection="1">
      <alignment vertical="center" wrapText="1"/>
      <protection hidden="1"/>
    </xf>
    <xf numFmtId="0" fontId="32" fillId="10" borderId="20" xfId="0" applyFont="1" applyFill="1" applyBorder="1" applyAlignment="1" applyProtection="1">
      <alignment vertical="center" wrapText="1"/>
      <protection hidden="1"/>
    </xf>
    <xf numFmtId="49" fontId="50" fillId="6" borderId="19" xfId="0" applyNumberFormat="1" applyFont="1" applyFill="1" applyBorder="1" applyAlignment="1" applyProtection="1">
      <alignment vertical="center" wrapText="1"/>
      <protection hidden="1"/>
    </xf>
    <xf numFmtId="0" fontId="35" fillId="6" borderId="6" xfId="0" applyFont="1" applyFill="1" applyBorder="1" applyAlignment="1" applyProtection="1">
      <alignment horizontal="center" vertical="center" wrapText="1"/>
      <protection hidden="1"/>
    </xf>
    <xf numFmtId="49" fontId="33" fillId="6" borderId="14" xfId="0" applyNumberFormat="1" applyFont="1" applyFill="1" applyBorder="1" applyAlignment="1" applyProtection="1">
      <alignment horizontal="center" vertical="center" wrapText="1"/>
      <protection hidden="1"/>
    </xf>
    <xf numFmtId="49" fontId="35" fillId="6" borderId="19" xfId="0" applyNumberFormat="1" applyFont="1" applyFill="1" applyBorder="1" applyAlignment="1" applyProtection="1">
      <alignment horizontal="center" vertical="center" wrapText="1"/>
      <protection hidden="1"/>
    </xf>
    <xf numFmtId="49" fontId="33" fillId="6" borderId="15" xfId="0" applyNumberFormat="1" applyFont="1" applyFill="1" applyBorder="1" applyAlignment="1" applyProtection="1">
      <alignment vertical="center" wrapText="1"/>
      <protection hidden="1"/>
    </xf>
    <xf numFmtId="49" fontId="50" fillId="8" borderId="17" xfId="0" applyNumberFormat="1" applyFont="1" applyFill="1" applyBorder="1" applyAlignment="1" applyProtection="1">
      <alignment vertical="center" wrapText="1"/>
      <protection hidden="1"/>
    </xf>
    <xf numFmtId="49" fontId="50" fillId="10" borderId="19" xfId="0" applyNumberFormat="1" applyFont="1" applyFill="1" applyBorder="1" applyAlignment="1" applyProtection="1">
      <alignment vertical="center" wrapText="1"/>
      <protection hidden="1"/>
    </xf>
    <xf numFmtId="49" fontId="33" fillId="8" borderId="19" xfId="0" applyNumberFormat="1" applyFont="1" applyFill="1" applyBorder="1" applyAlignment="1" applyProtection="1">
      <alignment horizontal="center" vertical="center" wrapText="1"/>
      <protection hidden="1"/>
    </xf>
    <xf numFmtId="0" fontId="33" fillId="10" borderId="18" xfId="0" applyFont="1" applyFill="1" applyBorder="1" applyAlignment="1" applyProtection="1">
      <alignment vertical="center" wrapText="1"/>
      <protection hidden="1"/>
    </xf>
    <xf numFmtId="49" fontId="33" fillId="10" borderId="19" xfId="0" applyNumberFormat="1" applyFont="1" applyFill="1" applyBorder="1" applyAlignment="1" applyProtection="1">
      <alignment vertical="center" wrapText="1"/>
      <protection hidden="1"/>
    </xf>
    <xf numFmtId="49" fontId="33" fillId="10" borderId="19" xfId="0" applyNumberFormat="1" applyFont="1" applyFill="1" applyBorder="1" applyAlignment="1" applyProtection="1">
      <alignment horizontal="center" vertical="center" wrapText="1"/>
      <protection hidden="1"/>
    </xf>
    <xf numFmtId="0" fontId="33" fillId="10" borderId="20" xfId="0" applyFont="1" applyFill="1" applyBorder="1" applyAlignment="1" applyProtection="1">
      <alignment vertical="center" wrapText="1"/>
      <protection hidden="1"/>
    </xf>
    <xf numFmtId="0" fontId="35" fillId="10" borderId="6" xfId="0" applyFont="1" applyFill="1" applyBorder="1" applyAlignment="1" applyProtection="1">
      <alignment horizontal="center" vertical="center" wrapText="1"/>
      <protection hidden="1"/>
    </xf>
    <xf numFmtId="0" fontId="33" fillId="8" borderId="6" xfId="0" applyFont="1" applyFill="1" applyBorder="1" applyAlignment="1" applyProtection="1">
      <alignment horizontal="center" vertical="center" wrapText="1"/>
      <protection hidden="1"/>
    </xf>
    <xf numFmtId="0" fontId="31" fillId="8" borderId="6" xfId="0" applyFont="1" applyFill="1" applyBorder="1" applyAlignment="1" applyProtection="1">
      <alignment horizontal="center" vertical="center" wrapText="1"/>
      <protection hidden="1"/>
    </xf>
    <xf numFmtId="0" fontId="35" fillId="7" borderId="6" xfId="0" applyFont="1" applyFill="1" applyBorder="1" applyAlignment="1" applyProtection="1">
      <alignment horizontal="center" vertical="center" wrapText="1"/>
      <protection hidden="1"/>
    </xf>
    <xf numFmtId="49" fontId="23" fillId="7" borderId="19" xfId="0" applyNumberFormat="1" applyFont="1" applyFill="1" applyBorder="1" applyAlignment="1" applyProtection="1">
      <alignment horizontal="center" vertical="center" wrapText="1"/>
      <protection hidden="1"/>
    </xf>
    <xf numFmtId="0" fontId="23" fillId="7" borderId="20" xfId="0" applyFont="1" applyFill="1" applyBorder="1" applyAlignment="1" applyProtection="1">
      <alignment horizontal="center" vertical="center" wrapText="1"/>
      <protection hidden="1"/>
    </xf>
    <xf numFmtId="0" fontId="35" fillId="8" borderId="6" xfId="0" applyFont="1" applyFill="1" applyBorder="1" applyAlignment="1" applyProtection="1">
      <alignment horizontal="center" vertical="center" wrapText="1"/>
      <protection hidden="1"/>
    </xf>
    <xf numFmtId="49" fontId="23" fillId="8" borderId="19" xfId="0" applyNumberFormat="1" applyFont="1" applyFill="1" applyBorder="1" applyAlignment="1" applyProtection="1">
      <alignment horizontal="center" vertical="center" wrapText="1"/>
      <protection hidden="1"/>
    </xf>
    <xf numFmtId="1" fontId="23" fillId="8" borderId="20" xfId="0" applyNumberFormat="1" applyFont="1" applyFill="1" applyBorder="1" applyAlignment="1" applyProtection="1">
      <alignment horizontal="center" vertical="center" wrapText="1"/>
      <protection hidden="1"/>
    </xf>
    <xf numFmtId="0" fontId="53" fillId="9" borderId="1" xfId="1" applyFont="1" applyFill="1" applyBorder="1" applyAlignment="1" applyProtection="1">
      <alignment horizontal="center" vertical="center" wrapText="1"/>
      <protection locked="0"/>
    </xf>
    <xf numFmtId="0" fontId="3" fillId="0" borderId="29" xfId="1" applyFont="1" applyFill="1" applyBorder="1" applyAlignment="1" applyProtection="1">
      <alignment horizontal="left" vertical="center" wrapText="1"/>
    </xf>
    <xf numFmtId="0" fontId="3" fillId="0" borderId="29" xfId="1" applyFont="1" applyFill="1" applyBorder="1" applyAlignment="1" applyProtection="1">
      <alignment horizontal="center" vertical="center" wrapText="1"/>
    </xf>
    <xf numFmtId="0" fontId="13" fillId="0" borderId="29" xfId="2" applyFont="1" applyBorder="1" applyAlignment="1" applyProtection="1">
      <alignment horizontal="left" vertical="center" wrapText="1"/>
    </xf>
    <xf numFmtId="49" fontId="43" fillId="0" borderId="0" xfId="1" applyNumberFormat="1" applyFont="1" applyAlignment="1" applyProtection="1">
      <alignment vertical="center"/>
    </xf>
    <xf numFmtId="0" fontId="49" fillId="0" borderId="0" xfId="1" applyFont="1" applyFill="1" applyAlignment="1" applyProtection="1">
      <alignment vertical="justify" wrapText="1"/>
    </xf>
    <xf numFmtId="0" fontId="31" fillId="10" borderId="6" xfId="0" applyFont="1" applyFill="1" applyBorder="1" applyAlignment="1" applyProtection="1">
      <alignment horizontal="center" vertical="center" wrapText="1"/>
      <protection hidden="1"/>
    </xf>
    <xf numFmtId="0" fontId="20" fillId="8" borderId="6" xfId="0" applyFont="1" applyFill="1" applyBorder="1" applyAlignment="1" applyProtection="1">
      <alignment horizontal="center" vertical="center" wrapText="1"/>
      <protection hidden="1"/>
    </xf>
    <xf numFmtId="49" fontId="22" fillId="8" borderId="19" xfId="0" applyNumberFormat="1" applyFont="1" applyFill="1" applyBorder="1" applyAlignment="1" applyProtection="1">
      <alignment vertical="center" wrapText="1"/>
      <protection hidden="1"/>
    </xf>
    <xf numFmtId="49" fontId="50" fillId="5" borderId="21" xfId="0" applyNumberFormat="1" applyFont="1" applyFill="1" applyBorder="1" applyAlignment="1" applyProtection="1">
      <alignment vertical="center" wrapText="1"/>
      <protection hidden="1"/>
    </xf>
    <xf numFmtId="49" fontId="50" fillId="5" borderId="19" xfId="0" applyNumberFormat="1" applyFont="1" applyFill="1" applyBorder="1" applyAlignment="1" applyProtection="1">
      <alignment vertical="center" wrapText="1"/>
      <protection hidden="1"/>
    </xf>
    <xf numFmtId="49" fontId="50" fillId="5" borderId="20" xfId="0" applyNumberFormat="1" applyFont="1" applyFill="1" applyBorder="1" applyAlignment="1" applyProtection="1">
      <alignment vertical="center" wrapText="1"/>
      <protection hidden="1"/>
    </xf>
    <xf numFmtId="49" fontId="22" fillId="7" borderId="17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0" xfId="0" applyNumberFormat="1" applyFont="1" applyBorder="1" applyAlignment="1" applyProtection="1">
      <alignment vertical="top"/>
      <protection hidden="1"/>
    </xf>
    <xf numFmtId="0" fontId="50" fillId="8" borderId="18" xfId="0" applyFont="1" applyFill="1" applyBorder="1" applyAlignment="1" applyProtection="1">
      <alignment vertical="center"/>
      <protection hidden="1"/>
    </xf>
    <xf numFmtId="4" fontId="49" fillId="0" borderId="6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3" fillId="9" borderId="32" xfId="1" applyFont="1" applyFill="1" applyBorder="1" applyAlignment="1" applyProtection="1">
      <alignment horizontal="center" vertical="center" wrapText="1"/>
      <protection locked="0"/>
    </xf>
    <xf numFmtId="0" fontId="3" fillId="0" borderId="33" xfId="2" applyFont="1" applyBorder="1" applyAlignment="1" applyProtection="1">
      <alignment horizontal="center" vertical="center" wrapText="1"/>
    </xf>
    <xf numFmtId="0" fontId="3" fillId="0" borderId="28" xfId="1" applyFont="1" applyFill="1" applyBorder="1" applyAlignment="1" applyProtection="1">
      <alignment horizontal="center" vertical="center" wrapText="1"/>
    </xf>
    <xf numFmtId="4" fontId="10" fillId="2" borderId="1" xfId="0" applyNumberFormat="1" applyFont="1" applyFill="1" applyBorder="1" applyProtection="1">
      <protection hidden="1"/>
    </xf>
    <xf numFmtId="4" fontId="10" fillId="2" borderId="1" xfId="0" applyNumberFormat="1" applyFont="1" applyFill="1" applyBorder="1" applyAlignment="1" applyProtection="1">
      <alignment horizontal="right" vertical="center"/>
      <protection hidden="1"/>
    </xf>
    <xf numFmtId="49" fontId="3" fillId="0" borderId="0" xfId="0" applyNumberFormat="1" applyFont="1" applyAlignment="1" applyProtection="1">
      <alignment horizontal="center" vertical="center" wrapText="1"/>
    </xf>
    <xf numFmtId="0" fontId="17" fillId="6" borderId="6" xfId="0" applyFont="1" applyFill="1" applyBorder="1" applyAlignment="1" applyProtection="1">
      <alignment horizontal="center" vertical="center" wrapText="1"/>
    </xf>
    <xf numFmtId="0" fontId="51" fillId="6" borderId="6" xfId="0" applyFont="1" applyFill="1" applyBorder="1" applyAlignment="1" applyProtection="1">
      <alignment vertical="center" wrapText="1"/>
    </xf>
    <xf numFmtId="0" fontId="17" fillId="6" borderId="6" xfId="0" applyFont="1" applyFill="1" applyBorder="1" applyAlignment="1" applyProtection="1">
      <alignment vertical="center" wrapText="1"/>
    </xf>
    <xf numFmtId="0" fontId="51" fillId="6" borderId="6" xfId="0" applyFont="1" applyFill="1" applyBorder="1" applyAlignment="1" applyProtection="1">
      <alignment horizontal="center" vertical="center" wrapText="1"/>
    </xf>
    <xf numFmtId="4" fontId="17" fillId="6" borderId="22" xfId="0" applyNumberFormat="1" applyFont="1" applyFill="1" applyBorder="1" applyAlignment="1" applyProtection="1">
      <alignment horizontal="center" vertical="center" wrapText="1"/>
    </xf>
    <xf numFmtId="4" fontId="17" fillId="6" borderId="6" xfId="0" applyNumberFormat="1" applyFont="1" applyFill="1" applyBorder="1" applyAlignment="1" applyProtection="1">
      <alignment horizontal="center" vertical="center" wrapText="1"/>
    </xf>
    <xf numFmtId="0" fontId="20" fillId="6" borderId="6" xfId="0" applyFont="1" applyFill="1" applyBorder="1" applyAlignment="1" applyProtection="1">
      <alignment horizontal="center" vertical="center" wrapText="1"/>
    </xf>
    <xf numFmtId="4" fontId="17" fillId="6" borderId="21" xfId="0" applyNumberFormat="1" applyFont="1" applyFill="1" applyBorder="1" applyAlignment="1" applyProtection="1">
      <alignment horizontal="center" vertical="center" wrapText="1"/>
    </xf>
    <xf numFmtId="4" fontId="17" fillId="6" borderId="20" xfId="0" applyNumberFormat="1" applyFont="1" applyFill="1" applyBorder="1" applyAlignment="1" applyProtection="1">
      <alignment horizontal="center" vertical="center" wrapText="1"/>
    </xf>
    <xf numFmtId="49" fontId="17" fillId="6" borderId="19" xfId="0" applyNumberFormat="1" applyFont="1" applyFill="1" applyBorder="1" applyAlignment="1" applyProtection="1">
      <alignment horizontal="center" vertical="center" wrapText="1"/>
    </xf>
    <xf numFmtId="4" fontId="5" fillId="6" borderId="22" xfId="0" applyNumberFormat="1" applyFont="1" applyFill="1" applyBorder="1" applyAlignment="1" applyProtection="1">
      <alignment horizontal="center" vertical="center" wrapText="1"/>
    </xf>
    <xf numFmtId="4" fontId="5" fillId="6" borderId="6" xfId="0" applyNumberFormat="1" applyFont="1" applyFill="1" applyBorder="1" applyAlignment="1" applyProtection="1">
      <alignment horizontal="center" vertical="center" wrapText="1"/>
    </xf>
    <xf numFmtId="4" fontId="5" fillId="6" borderId="21" xfId="0" applyNumberFormat="1" applyFont="1" applyFill="1" applyBorder="1" applyAlignment="1" applyProtection="1">
      <alignment horizontal="center" vertical="center" wrapText="1"/>
    </xf>
    <xf numFmtId="0" fontId="20" fillId="8" borderId="6" xfId="0" applyFont="1" applyFill="1" applyBorder="1" applyAlignment="1" applyProtection="1">
      <alignment horizontal="center" vertical="center" wrapText="1"/>
    </xf>
    <xf numFmtId="0" fontId="22" fillId="8" borderId="6" xfId="0" applyFont="1" applyFill="1" applyBorder="1" applyAlignment="1" applyProtection="1">
      <alignment vertical="center" wrapText="1"/>
    </xf>
    <xf numFmtId="0" fontId="20" fillId="8" borderId="22" xfId="0" applyFont="1" applyFill="1" applyBorder="1" applyAlignment="1" applyProtection="1">
      <alignment vertical="center" wrapText="1"/>
    </xf>
    <xf numFmtId="0" fontId="51" fillId="8" borderId="22" xfId="0" applyFont="1" applyFill="1" applyBorder="1" applyAlignment="1" applyProtection="1">
      <alignment horizontal="center" vertical="center" wrapText="1"/>
    </xf>
    <xf numFmtId="0" fontId="22" fillId="8" borderId="22" xfId="0" applyFont="1" applyFill="1" applyBorder="1" applyAlignment="1" applyProtection="1">
      <alignment horizontal="center" vertical="center" wrapText="1"/>
    </xf>
    <xf numFmtId="4" fontId="17" fillId="8" borderId="22" xfId="0" applyNumberFormat="1" applyFont="1" applyFill="1" applyBorder="1" applyAlignment="1" applyProtection="1">
      <alignment horizontal="center" vertical="center" wrapText="1"/>
    </xf>
    <xf numFmtId="4" fontId="20" fillId="8" borderId="22" xfId="0" applyNumberFormat="1" applyFont="1" applyFill="1" applyBorder="1" applyAlignment="1" applyProtection="1">
      <alignment horizontal="center" vertical="center" wrapText="1"/>
    </xf>
    <xf numFmtId="0" fontId="20" fillId="8" borderId="6" xfId="0" applyFont="1" applyFill="1" applyBorder="1" applyAlignment="1" applyProtection="1">
      <alignment vertical="center" wrapText="1"/>
    </xf>
    <xf numFmtId="0" fontId="51" fillId="8" borderId="6" xfId="0" applyFont="1" applyFill="1" applyBorder="1" applyAlignment="1" applyProtection="1">
      <alignment horizontal="center" vertical="center" wrapText="1"/>
    </xf>
    <xf numFmtId="0" fontId="22" fillId="8" borderId="6" xfId="0" applyFont="1" applyFill="1" applyBorder="1" applyAlignment="1" applyProtection="1">
      <alignment horizontal="center" vertical="center" wrapText="1"/>
    </xf>
    <xf numFmtId="4" fontId="20" fillId="8" borderId="6" xfId="0" applyNumberFormat="1" applyFont="1" applyFill="1" applyBorder="1" applyAlignment="1" applyProtection="1">
      <alignment horizontal="center" vertical="center" wrapText="1"/>
    </xf>
    <xf numFmtId="0" fontId="20" fillId="8" borderId="21" xfId="0" applyFont="1" applyFill="1" applyBorder="1" applyAlignment="1" applyProtection="1">
      <alignment vertical="center" wrapText="1"/>
    </xf>
    <xf numFmtId="0" fontId="51" fillId="8" borderId="21" xfId="0" applyFont="1" applyFill="1" applyBorder="1" applyAlignment="1" applyProtection="1">
      <alignment horizontal="center" vertical="center" wrapText="1"/>
    </xf>
    <xf numFmtId="0" fontId="22" fillId="8" borderId="21" xfId="0" applyFont="1" applyFill="1" applyBorder="1" applyAlignment="1" applyProtection="1">
      <alignment horizontal="center" vertical="center" wrapText="1"/>
    </xf>
    <xf numFmtId="4" fontId="20" fillId="8" borderId="21" xfId="0" applyNumberFormat="1" applyFont="1" applyFill="1" applyBorder="1" applyAlignment="1" applyProtection="1">
      <alignment horizontal="center" vertical="center" wrapText="1"/>
    </xf>
    <xf numFmtId="0" fontId="51" fillId="8" borderId="6" xfId="0" applyFont="1" applyFill="1" applyBorder="1" applyAlignment="1" applyProtection="1">
      <alignment vertical="center" wrapText="1"/>
    </xf>
    <xf numFmtId="0" fontId="17" fillId="8" borderId="22" xfId="0" applyFont="1" applyFill="1" applyBorder="1" applyAlignment="1" applyProtection="1">
      <alignment vertical="center" wrapText="1"/>
    </xf>
    <xf numFmtId="0" fontId="17" fillId="8" borderId="6" xfId="0" applyFont="1" applyFill="1" applyBorder="1" applyAlignment="1" applyProtection="1">
      <alignment vertical="center" wrapText="1"/>
    </xf>
    <xf numFmtId="0" fontId="17" fillId="8" borderId="21" xfId="0" applyFont="1" applyFill="1" applyBorder="1" applyAlignment="1" applyProtection="1">
      <alignment vertical="center" wrapText="1"/>
    </xf>
    <xf numFmtId="0" fontId="20" fillId="10" borderId="6" xfId="0" applyFont="1" applyFill="1" applyBorder="1" applyAlignment="1" applyProtection="1">
      <alignment horizontal="center" vertical="center" wrapText="1"/>
    </xf>
    <xf numFmtId="0" fontId="51" fillId="10" borderId="6" xfId="0" applyFont="1" applyFill="1" applyBorder="1" applyAlignment="1" applyProtection="1">
      <alignment vertical="center" wrapText="1"/>
    </xf>
    <xf numFmtId="0" fontId="17" fillId="10" borderId="6" xfId="0" applyFont="1" applyFill="1" applyBorder="1" applyAlignment="1" applyProtection="1">
      <alignment vertical="center" wrapText="1"/>
    </xf>
    <xf numFmtId="0" fontId="22" fillId="10" borderId="6" xfId="0" applyFont="1" applyFill="1" applyBorder="1" applyAlignment="1" applyProtection="1">
      <alignment horizontal="center" vertical="center" wrapText="1"/>
    </xf>
    <xf numFmtId="4" fontId="17" fillId="10" borderId="22" xfId="0" applyNumberFormat="1" applyFont="1" applyFill="1" applyBorder="1" applyAlignment="1" applyProtection="1">
      <alignment horizontal="center" vertical="center" wrapText="1"/>
    </xf>
    <xf numFmtId="4" fontId="20" fillId="10" borderId="22" xfId="0" applyNumberFormat="1" applyFont="1" applyFill="1" applyBorder="1" applyAlignment="1" applyProtection="1">
      <alignment horizontal="center" vertical="center" wrapText="1"/>
    </xf>
    <xf numFmtId="4" fontId="20" fillId="10" borderId="6" xfId="0" applyNumberFormat="1" applyFont="1" applyFill="1" applyBorder="1" applyAlignment="1" applyProtection="1">
      <alignment horizontal="center" vertical="center" wrapText="1"/>
    </xf>
    <xf numFmtId="4" fontId="20" fillId="10" borderId="21" xfId="0" applyNumberFormat="1" applyFont="1" applyFill="1" applyBorder="1" applyAlignment="1" applyProtection="1">
      <alignment horizontal="center" vertical="center" wrapText="1"/>
    </xf>
    <xf numFmtId="0" fontId="22" fillId="10" borderId="6" xfId="0" applyFont="1" applyFill="1" applyBorder="1" applyAlignment="1" applyProtection="1">
      <alignment vertical="center" wrapText="1"/>
    </xf>
    <xf numFmtId="0" fontId="20" fillId="10" borderId="6" xfId="0" applyFont="1" applyFill="1" applyBorder="1" applyAlignment="1" applyProtection="1">
      <alignment vertical="center" wrapText="1"/>
    </xf>
    <xf numFmtId="0" fontId="20" fillId="7" borderId="6" xfId="0" applyFont="1" applyFill="1" applyBorder="1" applyAlignment="1" applyProtection="1">
      <alignment horizontal="center" vertical="center" wrapText="1"/>
    </xf>
    <xf numFmtId="0" fontId="22" fillId="7" borderId="6" xfId="0" applyFont="1" applyFill="1" applyBorder="1" applyAlignment="1" applyProtection="1">
      <alignment vertical="center" wrapText="1"/>
    </xf>
    <xf numFmtId="0" fontId="20" fillId="7" borderId="6" xfId="0" applyFont="1" applyFill="1" applyBorder="1" applyAlignment="1" applyProtection="1">
      <alignment vertical="center" wrapText="1"/>
    </xf>
    <xf numFmtId="0" fontId="22" fillId="7" borderId="6" xfId="0" applyFont="1" applyFill="1" applyBorder="1" applyAlignment="1" applyProtection="1">
      <alignment horizontal="center" vertical="center" wrapText="1"/>
    </xf>
    <xf numFmtId="4" fontId="17" fillId="7" borderId="22" xfId="0" applyNumberFormat="1" applyFont="1" applyFill="1" applyBorder="1" applyAlignment="1" applyProtection="1">
      <alignment horizontal="center" vertical="center" wrapText="1"/>
    </xf>
    <xf numFmtId="4" fontId="20" fillId="7" borderId="22" xfId="0" applyNumberFormat="1" applyFont="1" applyFill="1" applyBorder="1" applyAlignment="1" applyProtection="1">
      <alignment horizontal="center" vertical="center" wrapText="1"/>
    </xf>
    <xf numFmtId="4" fontId="20" fillId="7" borderId="6" xfId="0" applyNumberFormat="1" applyFont="1" applyFill="1" applyBorder="1" applyAlignment="1" applyProtection="1">
      <alignment horizontal="center" vertical="center" wrapText="1"/>
    </xf>
    <xf numFmtId="4" fontId="20" fillId="7" borderId="21" xfId="0" applyNumberFormat="1" applyFont="1" applyFill="1" applyBorder="1" applyAlignment="1" applyProtection="1">
      <alignment horizontal="center" vertical="center" wrapText="1"/>
    </xf>
    <xf numFmtId="49" fontId="20" fillId="9" borderId="6" xfId="0" applyNumberFormat="1" applyFont="1" applyFill="1" applyBorder="1" applyAlignment="1" applyProtection="1">
      <alignment horizontal="center" vertical="center" wrapText="1"/>
      <protection locked="0" hidden="1"/>
    </xf>
    <xf numFmtId="4" fontId="2" fillId="0" borderId="0" xfId="2" applyNumberFormat="1" applyFont="1" applyFill="1" applyBorder="1" applyAlignment="1" applyProtection="1">
      <alignment horizontal="left" vertical="justify" wrapText="1"/>
    </xf>
    <xf numFmtId="0" fontId="10" fillId="0" borderId="16" xfId="2" applyFont="1" applyFill="1" applyBorder="1" applyAlignment="1" applyProtection="1">
      <alignment vertical="justify" wrapText="1"/>
    </xf>
    <xf numFmtId="0" fontId="10" fillId="0" borderId="17" xfId="2" applyFont="1" applyFill="1" applyBorder="1" applyAlignment="1" applyProtection="1">
      <alignment vertical="justify" wrapText="1"/>
    </xf>
    <xf numFmtId="0" fontId="5" fillId="0" borderId="31" xfId="2" applyFont="1" applyBorder="1" applyAlignment="1" applyProtection="1">
      <alignment horizontal="left" vertical="justify" wrapText="1"/>
    </xf>
    <xf numFmtId="0" fontId="5" fillId="0" borderId="46" xfId="2" applyFont="1" applyBorder="1" applyAlignment="1" applyProtection="1">
      <alignment horizontal="left" vertical="justify" wrapText="1"/>
    </xf>
    <xf numFmtId="4" fontId="3" fillId="0" borderId="32" xfId="2" applyNumberFormat="1" applyFont="1" applyBorder="1" applyAlignment="1" applyProtection="1">
      <alignment horizontal="center" vertical="center" wrapText="1"/>
    </xf>
    <xf numFmtId="0" fontId="4" fillId="0" borderId="26" xfId="1" applyFont="1" applyFill="1" applyBorder="1" applyAlignment="1" applyProtection="1">
      <alignment vertical="justify" wrapText="1"/>
    </xf>
    <xf numFmtId="0" fontId="4" fillId="0" borderId="2" xfId="1" applyFont="1" applyFill="1" applyBorder="1" applyAlignment="1" applyProtection="1">
      <alignment vertical="justify" wrapText="1"/>
    </xf>
    <xf numFmtId="0" fontId="4" fillId="0" borderId="12" xfId="1" applyFont="1" applyFill="1" applyBorder="1" applyAlignment="1" applyProtection="1">
      <alignment vertical="justify" wrapText="1"/>
    </xf>
    <xf numFmtId="0" fontId="4" fillId="0" borderId="7" xfId="1" applyFont="1" applyFill="1" applyBorder="1" applyAlignment="1" applyProtection="1">
      <alignment vertical="justify" wrapText="1"/>
    </xf>
    <xf numFmtId="0" fontId="4" fillId="0" borderId="8" xfId="1" applyFont="1" applyFill="1" applyBorder="1" applyAlignment="1" applyProtection="1">
      <alignment vertical="justify" wrapText="1"/>
    </xf>
    <xf numFmtId="0" fontId="47" fillId="0" borderId="7" xfId="1" applyFont="1" applyFill="1" applyBorder="1" applyAlignment="1" applyProtection="1">
      <alignment vertical="justify" wrapText="1"/>
    </xf>
    <xf numFmtId="0" fontId="47" fillId="0" borderId="8" xfId="1" applyFont="1" applyFill="1" applyBorder="1" applyAlignment="1" applyProtection="1">
      <alignment vertical="justify" wrapText="1"/>
    </xf>
    <xf numFmtId="0" fontId="7" fillId="0" borderId="26" xfId="1" applyFont="1" applyFill="1" applyBorder="1" applyAlignment="1" applyProtection="1">
      <alignment vertical="justify" wrapText="1"/>
    </xf>
    <xf numFmtId="0" fontId="7" fillId="0" borderId="7" xfId="1" applyFont="1" applyFill="1" applyBorder="1" applyAlignment="1" applyProtection="1">
      <alignment vertical="justify" wrapText="1"/>
    </xf>
    <xf numFmtId="0" fontId="7" fillId="0" borderId="8" xfId="1" applyFont="1" applyFill="1" applyBorder="1" applyAlignment="1" applyProtection="1">
      <alignment vertical="justify" wrapText="1"/>
    </xf>
    <xf numFmtId="0" fontId="7" fillId="0" borderId="38" xfId="1" applyFont="1" applyFill="1" applyBorder="1" applyAlignment="1" applyProtection="1">
      <alignment vertical="center" wrapText="1"/>
    </xf>
    <xf numFmtId="0" fontId="7" fillId="0" borderId="5" xfId="1" applyFont="1" applyFill="1" applyBorder="1" applyAlignment="1" applyProtection="1">
      <alignment vertical="center" wrapText="1"/>
    </xf>
    <xf numFmtId="0" fontId="4" fillId="0" borderId="30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top" wrapText="1"/>
    </xf>
    <xf numFmtId="0" fontId="4" fillId="0" borderId="31" xfId="0" applyFont="1" applyBorder="1" applyAlignment="1">
      <alignment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49" fontId="4" fillId="0" borderId="0" xfId="0" applyNumberFormat="1" applyFont="1" applyAlignment="1" applyProtection="1">
      <alignment horizontal="right" vertical="justify" wrapText="1"/>
    </xf>
    <xf numFmtId="49" fontId="4" fillId="0" borderId="0" xfId="0" applyNumberFormat="1" applyFont="1" applyAlignment="1" applyProtection="1">
      <alignment horizontal="left" vertical="justify" wrapText="1"/>
    </xf>
    <xf numFmtId="0" fontId="4" fillId="0" borderId="0" xfId="1" applyFont="1" applyFill="1" applyBorder="1" applyAlignment="1" applyProtection="1">
      <alignment vertical="justify" wrapText="1"/>
      <protection locked="0"/>
    </xf>
    <xf numFmtId="0" fontId="44" fillId="0" borderId="0" xfId="0" applyFont="1" applyFill="1" applyAlignment="1" applyProtection="1">
      <alignment horizontal="left" vertical="justify" wrapText="1"/>
    </xf>
    <xf numFmtId="49" fontId="54" fillId="0" borderId="30" xfId="2" applyNumberFormat="1" applyFont="1" applyBorder="1" applyAlignment="1" applyProtection="1">
      <alignment vertical="center" wrapText="1"/>
    </xf>
    <xf numFmtId="0" fontId="12" fillId="0" borderId="8" xfId="2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29" xfId="0" applyFont="1" applyBorder="1" applyAlignment="1" applyProtection="1">
      <alignment horizontal="center" vertical="center" wrapText="1"/>
    </xf>
    <xf numFmtId="0" fontId="30" fillId="0" borderId="0" xfId="0" applyNumberFormat="1" applyFont="1" applyAlignment="1" applyProtection="1">
      <alignment horizontal="center" vertical="center"/>
      <protection hidden="1"/>
    </xf>
    <xf numFmtId="2" fontId="30" fillId="0" borderId="0" xfId="0" applyNumberFormat="1" applyFont="1" applyAlignment="1" applyProtection="1">
      <alignment horizontal="center" vertical="center"/>
      <protection locked="0" hidden="1"/>
    </xf>
    <xf numFmtId="0" fontId="30" fillId="0" borderId="0" xfId="0" applyNumberFormat="1" applyFont="1" applyAlignment="1" applyProtection="1">
      <alignment horizontal="center" vertical="center"/>
      <protection locked="0" hidden="1"/>
    </xf>
    <xf numFmtId="0" fontId="56" fillId="9" borderId="6" xfId="0" applyNumberFormat="1" applyFont="1" applyFill="1" applyBorder="1" applyAlignment="1" applyProtection="1">
      <alignment horizontal="center" vertical="center" wrapText="1"/>
    </xf>
    <xf numFmtId="49" fontId="33" fillId="7" borderId="19" xfId="0" applyNumberFormat="1" applyFont="1" applyFill="1" applyBorder="1" applyAlignment="1" applyProtection="1">
      <alignment horizontal="center" vertical="center" wrapText="1"/>
      <protection hidden="1"/>
    </xf>
    <xf numFmtId="0" fontId="3" fillId="9" borderId="1" xfId="1" applyFont="1" applyFill="1" applyBorder="1" applyAlignment="1" applyProtection="1">
      <alignment horizontal="center" vertical="center" wrapText="1"/>
    </xf>
    <xf numFmtId="0" fontId="32" fillId="0" borderId="5" xfId="1" applyFont="1" applyFill="1" applyBorder="1" applyAlignment="1" applyProtection="1">
      <alignment horizontal="center" vertical="center" wrapText="1"/>
    </xf>
    <xf numFmtId="0" fontId="32" fillId="0" borderId="28" xfId="1" applyFont="1" applyFill="1" applyBorder="1" applyAlignment="1" applyProtection="1">
      <alignment horizontal="center" vertical="center" wrapText="1"/>
    </xf>
    <xf numFmtId="0" fontId="17" fillId="3" borderId="6" xfId="0" applyFont="1" applyFill="1" applyBorder="1" applyAlignment="1" applyProtection="1">
      <alignment horizontal="center" vertical="center" wrapText="1"/>
    </xf>
    <xf numFmtId="0" fontId="51" fillId="3" borderId="6" xfId="0" applyFont="1" applyFill="1" applyBorder="1" applyAlignment="1" applyProtection="1">
      <alignment vertical="center" wrapText="1"/>
    </xf>
    <xf numFmtId="0" fontId="17" fillId="3" borderId="6" xfId="0" applyFont="1" applyFill="1" applyBorder="1" applyAlignment="1" applyProtection="1">
      <alignment vertical="center" wrapText="1"/>
    </xf>
    <xf numFmtId="0" fontId="51" fillId="3" borderId="6" xfId="0" applyFont="1" applyFill="1" applyBorder="1" applyAlignment="1" applyProtection="1">
      <alignment horizontal="center" vertical="center" wrapText="1"/>
    </xf>
    <xf numFmtId="0" fontId="17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17" fillId="3" borderId="22" xfId="0" applyNumberFormat="1" applyFont="1" applyFill="1" applyBorder="1" applyAlignment="1" applyProtection="1">
      <alignment horizontal="center" vertical="center" wrapText="1"/>
    </xf>
    <xf numFmtId="4" fontId="17" fillId="3" borderId="6" xfId="0" applyNumberFormat="1" applyFont="1" applyFill="1" applyBorder="1" applyAlignment="1" applyProtection="1">
      <alignment horizontal="center" vertical="center" wrapText="1"/>
    </xf>
    <xf numFmtId="0" fontId="1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6" xfId="0" applyFont="1" applyFill="1" applyBorder="1" applyAlignment="1" applyProtection="1">
      <alignment horizontal="center" vertical="center" wrapText="1"/>
    </xf>
    <xf numFmtId="0" fontId="22" fillId="3" borderId="6" xfId="0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7" fillId="3" borderId="21" xfId="0" applyNumberFormat="1" applyFont="1" applyFill="1" applyBorder="1" applyAlignment="1" applyProtection="1">
      <alignment horizontal="center" vertical="center" wrapText="1"/>
    </xf>
    <xf numFmtId="0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22" xfId="0" applyNumberFormat="1" applyFont="1" applyFill="1" applyBorder="1" applyAlignment="1" applyProtection="1">
      <alignment horizontal="center" vertical="center" wrapText="1"/>
    </xf>
    <xf numFmtId="0" fontId="56" fillId="3" borderId="6" xfId="0" applyNumberFormat="1" applyFont="1" applyFill="1" applyBorder="1" applyAlignment="1" applyProtection="1">
      <alignment horizontal="center" vertical="center" wrapText="1"/>
    </xf>
    <xf numFmtId="4" fontId="20" fillId="3" borderId="6" xfId="0" applyNumberFormat="1" applyFont="1" applyFill="1" applyBorder="1" applyAlignment="1" applyProtection="1">
      <alignment horizontal="center" vertical="center" wrapText="1"/>
    </xf>
    <xf numFmtId="4" fontId="20" fillId="3" borderId="21" xfId="0" applyNumberFormat="1" applyFont="1" applyFill="1" applyBorder="1" applyAlignment="1" applyProtection="1">
      <alignment horizontal="center" vertical="center" wrapText="1"/>
    </xf>
    <xf numFmtId="49" fontId="11" fillId="0" borderId="0" xfId="2" applyNumberFormat="1" applyFont="1" applyAlignment="1" applyProtection="1">
      <alignment horizontal="left" vertical="justify" wrapText="1"/>
    </xf>
    <xf numFmtId="0" fontId="22" fillId="0" borderId="6" xfId="0" applyFont="1" applyBorder="1" applyAlignment="1" applyProtection="1">
      <alignment horizontal="center" vertical="center" wrapText="1"/>
      <protection hidden="1"/>
    </xf>
    <xf numFmtId="49" fontId="22" fillId="0" borderId="6" xfId="0" applyNumberFormat="1" applyFont="1" applyBorder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center" wrapText="1"/>
      <protection hidden="1"/>
    </xf>
    <xf numFmtId="0" fontId="20" fillId="8" borderId="44" xfId="0" applyFont="1" applyFill="1" applyBorder="1" applyAlignment="1" applyProtection="1">
      <alignment vertical="center" wrapText="1"/>
      <protection hidden="1"/>
    </xf>
    <xf numFmtId="0" fontId="20" fillId="9" borderId="16" xfId="0" applyNumberFormat="1" applyFont="1" applyFill="1" applyBorder="1" applyAlignment="1" applyProtection="1">
      <alignment horizontal="center" vertical="center" wrapText="1"/>
      <protection locked="0"/>
    </xf>
    <xf numFmtId="0" fontId="20" fillId="9" borderId="18" xfId="0" applyNumberFormat="1" applyFont="1" applyFill="1" applyBorder="1" applyAlignment="1" applyProtection="1">
      <alignment horizontal="center" vertical="center" wrapText="1"/>
      <protection locked="0"/>
    </xf>
    <xf numFmtId="0" fontId="20" fillId="9" borderId="13" xfId="0" applyNumberFormat="1" applyFont="1" applyFill="1" applyBorder="1" applyAlignment="1" applyProtection="1">
      <alignment horizontal="center" vertical="center" wrapText="1"/>
      <protection locked="0"/>
    </xf>
    <xf numFmtId="0" fontId="20" fillId="9" borderId="48" xfId="0" applyNumberFormat="1" applyFont="1" applyFill="1" applyBorder="1" applyAlignment="1" applyProtection="1">
      <alignment horizontal="center" vertical="center" wrapText="1"/>
      <protection locked="0"/>
    </xf>
    <xf numFmtId="49" fontId="33" fillId="8" borderId="0" xfId="0" applyNumberFormat="1" applyFont="1" applyFill="1" applyBorder="1" applyAlignment="1" applyProtection="1">
      <alignment vertical="center" wrapText="1"/>
      <protection hidden="1"/>
    </xf>
    <xf numFmtId="0" fontId="33" fillId="8" borderId="15" xfId="0" applyFont="1" applyFill="1" applyBorder="1" applyAlignment="1" applyProtection="1">
      <alignment vertical="center" wrapText="1"/>
      <protection hidden="1"/>
    </xf>
    <xf numFmtId="4" fontId="17" fillId="8" borderId="1" xfId="0" applyNumberFormat="1" applyFont="1" applyFill="1" applyBorder="1" applyAlignment="1" applyProtection="1">
      <alignment horizontal="center" vertical="center" wrapText="1"/>
    </xf>
    <xf numFmtId="4" fontId="20" fillId="8" borderId="1" xfId="0" applyNumberFormat="1" applyFont="1" applyFill="1" applyBorder="1" applyAlignment="1" applyProtection="1">
      <alignment horizontal="center" vertical="center" wrapText="1"/>
    </xf>
    <xf numFmtId="0" fontId="31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31" fillId="8" borderId="1" xfId="0" applyFont="1" applyFill="1" applyBorder="1" applyAlignment="1" applyProtection="1">
      <alignment horizontal="center" vertical="center" wrapText="1"/>
      <protection hidden="1"/>
    </xf>
    <xf numFmtId="49" fontId="31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20" fillId="8" borderId="1" xfId="0" applyFont="1" applyFill="1" applyBorder="1" applyAlignment="1" applyProtection="1">
      <alignment horizontal="center" vertical="center" wrapText="1"/>
      <protection hidden="1"/>
    </xf>
    <xf numFmtId="49" fontId="20" fillId="8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 vertical="center" wrapText="1"/>
      <protection hidden="1"/>
    </xf>
    <xf numFmtId="0" fontId="48" fillId="4" borderId="0" xfId="0" applyFont="1" applyFill="1" applyAlignment="1" applyProtection="1">
      <alignment horizontal="center" vertical="center" wrapText="1"/>
      <protection hidden="1"/>
    </xf>
    <xf numFmtId="49" fontId="48" fillId="4" borderId="0" xfId="0" applyNumberFormat="1" applyFont="1" applyFill="1" applyAlignment="1" applyProtection="1">
      <alignment horizontal="center" vertical="center" wrapText="1"/>
      <protection hidden="1"/>
    </xf>
    <xf numFmtId="49" fontId="3" fillId="4" borderId="0" xfId="0" applyNumberFormat="1" applyFont="1" applyFill="1" applyAlignment="1" applyProtection="1">
      <alignment horizontal="center" vertical="center" wrapText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20" fillId="4" borderId="6" xfId="0" applyFont="1" applyFill="1" applyBorder="1" applyAlignment="1" applyProtection="1">
      <alignment horizontal="center" vertical="center" wrapText="1"/>
      <protection hidden="1"/>
    </xf>
    <xf numFmtId="0" fontId="22" fillId="4" borderId="6" xfId="0" applyFont="1" applyFill="1" applyBorder="1" applyAlignment="1" applyProtection="1">
      <alignment horizontal="center" vertical="center" wrapText="1"/>
      <protection hidden="1"/>
    </xf>
    <xf numFmtId="49" fontId="22" fillId="4" borderId="6" xfId="0" applyNumberFormat="1" applyFont="1" applyFill="1" applyBorder="1" applyAlignment="1" applyProtection="1">
      <alignment horizontal="center" vertical="center" wrapText="1"/>
      <protection hidden="1"/>
    </xf>
    <xf numFmtId="49" fontId="20" fillId="4" borderId="6" xfId="0" applyNumberFormat="1" applyFont="1" applyFill="1" applyBorder="1" applyAlignment="1" applyProtection="1">
      <alignment horizontal="center" vertical="center" wrapText="1"/>
      <protection locked="0" hidden="1"/>
    </xf>
    <xf numFmtId="49" fontId="20" fillId="4" borderId="6" xfId="0" applyNumberFormat="1" applyFont="1" applyFill="1" applyBorder="1" applyAlignment="1" applyProtection="1">
      <alignment horizontal="center" vertical="center" wrapText="1"/>
      <protection hidden="1"/>
    </xf>
    <xf numFmtId="0" fontId="31" fillId="4" borderId="21" xfId="0" applyFont="1" applyFill="1" applyBorder="1" applyAlignment="1" applyProtection="1">
      <alignment vertical="center" wrapText="1"/>
      <protection hidden="1"/>
    </xf>
    <xf numFmtId="0" fontId="31" fillId="4" borderId="22" xfId="0" applyFont="1" applyFill="1" applyBorder="1" applyAlignment="1" applyProtection="1">
      <alignment vertical="center" wrapText="1"/>
      <protection hidden="1"/>
    </xf>
    <xf numFmtId="0" fontId="35" fillId="4" borderId="6" xfId="0" applyFont="1" applyFill="1" applyBorder="1" applyAlignment="1" applyProtection="1">
      <alignment horizontal="center" vertical="center" wrapText="1"/>
      <protection hidden="1"/>
    </xf>
    <xf numFmtId="0" fontId="33" fillId="4" borderId="19" xfId="0" applyFont="1" applyFill="1" applyBorder="1" applyAlignment="1" applyProtection="1">
      <alignment horizontal="left" vertical="center" wrapText="1"/>
      <protection hidden="1"/>
    </xf>
    <xf numFmtId="49" fontId="50" fillId="4" borderId="19" xfId="0" applyNumberFormat="1" applyFont="1" applyFill="1" applyBorder="1" applyAlignment="1" applyProtection="1">
      <alignment vertical="center" wrapText="1"/>
      <protection hidden="1"/>
    </xf>
    <xf numFmtId="49" fontId="33" fillId="4" borderId="14" xfId="0" applyNumberFormat="1" applyFont="1" applyFill="1" applyBorder="1" applyAlignment="1" applyProtection="1">
      <alignment horizontal="center" vertical="center" wrapText="1"/>
      <protection hidden="1"/>
    </xf>
    <xf numFmtId="49" fontId="35" fillId="4" borderId="19" xfId="0" applyNumberFormat="1" applyFont="1" applyFill="1" applyBorder="1" applyAlignment="1" applyProtection="1">
      <alignment horizontal="center" vertical="center" wrapText="1"/>
      <protection hidden="1"/>
    </xf>
    <xf numFmtId="49" fontId="33" fillId="4" borderId="15" xfId="0" applyNumberFormat="1" applyFont="1" applyFill="1" applyBorder="1" applyAlignment="1" applyProtection="1">
      <alignment vertical="center" wrapText="1"/>
      <protection hidden="1"/>
    </xf>
    <xf numFmtId="0" fontId="32" fillId="4" borderId="6" xfId="0" applyFont="1" applyFill="1" applyBorder="1" applyAlignment="1" applyProtection="1">
      <alignment horizontal="center" vertical="center" wrapText="1"/>
      <protection hidden="1"/>
    </xf>
    <xf numFmtId="49" fontId="32" fillId="4" borderId="19" xfId="0" applyNumberFormat="1" applyFont="1" applyFill="1" applyBorder="1" applyAlignment="1" applyProtection="1">
      <alignment horizontal="center" vertical="center" wrapText="1"/>
      <protection hidden="1"/>
    </xf>
    <xf numFmtId="4" fontId="32" fillId="4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4" borderId="6" xfId="0" applyFont="1" applyFill="1" applyBorder="1" applyAlignment="1" applyProtection="1">
      <alignment horizontal="center" vertical="center" wrapText="1"/>
    </xf>
    <xf numFmtId="0" fontId="51" fillId="4" borderId="6" xfId="0" applyFont="1" applyFill="1" applyBorder="1" applyAlignment="1" applyProtection="1">
      <alignment vertical="center" wrapText="1"/>
    </xf>
    <xf numFmtId="0" fontId="17" fillId="4" borderId="6" xfId="0" applyFont="1" applyFill="1" applyBorder="1" applyAlignment="1" applyProtection="1">
      <alignment vertical="center" wrapText="1"/>
    </xf>
    <xf numFmtId="0" fontId="51" fillId="4" borderId="6" xfId="0" applyFont="1" applyFill="1" applyBorder="1" applyAlignment="1" applyProtection="1">
      <alignment horizontal="center" vertical="center" wrapText="1"/>
    </xf>
    <xf numFmtId="0" fontId="17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22" xfId="0" applyNumberFormat="1" applyFont="1" applyFill="1" applyBorder="1" applyAlignment="1" applyProtection="1">
      <alignment horizontal="center" vertical="center" wrapText="1"/>
    </xf>
    <xf numFmtId="4" fontId="17" fillId="4" borderId="6" xfId="0" applyNumberFormat="1" applyFont="1" applyFill="1" applyBorder="1" applyAlignment="1" applyProtection="1">
      <alignment horizontal="center" vertical="center" wrapText="1"/>
    </xf>
    <xf numFmtId="0" fontId="1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1" fillId="4" borderId="6" xfId="0" applyFont="1" applyFill="1" applyBorder="1" applyAlignment="1" applyProtection="1">
      <alignment horizontal="center" vertical="center" wrapText="1"/>
      <protection hidden="1"/>
    </xf>
    <xf numFmtId="49" fontId="31" fillId="4" borderId="19" xfId="0" applyNumberFormat="1" applyFont="1" applyFill="1" applyBorder="1" applyAlignment="1" applyProtection="1">
      <alignment vertical="center" wrapText="1"/>
      <protection hidden="1"/>
    </xf>
    <xf numFmtId="0" fontId="31" fillId="4" borderId="20" xfId="0" applyFont="1" applyFill="1" applyBorder="1" applyAlignment="1" applyProtection="1">
      <alignment vertical="center" wrapText="1"/>
      <protection hidden="1"/>
    </xf>
    <xf numFmtId="0" fontId="20" fillId="4" borderId="6" xfId="0" applyFont="1" applyFill="1" applyBorder="1" applyAlignment="1" applyProtection="1">
      <alignment horizontal="center" vertical="center" wrapText="1"/>
    </xf>
    <xf numFmtId="0" fontId="22" fillId="4" borderId="6" xfId="0" applyFont="1" applyFill="1" applyBorder="1" applyAlignment="1" applyProtection="1">
      <alignment horizontal="center" vertical="center" wrapText="1"/>
    </xf>
    <xf numFmtId="0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17" fillId="4" borderId="21" xfId="0" applyNumberFormat="1" applyFont="1" applyFill="1" applyBorder="1" applyAlignment="1" applyProtection="1">
      <alignment horizontal="center" vertical="center" wrapText="1"/>
    </xf>
    <xf numFmtId="4" fontId="17" fillId="4" borderId="20" xfId="0" applyNumberFormat="1" applyFont="1" applyFill="1" applyBorder="1" applyAlignment="1" applyProtection="1">
      <alignment horizontal="center" vertical="center" wrapText="1"/>
    </xf>
    <xf numFmtId="0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19" xfId="0" applyNumberFormat="1" applyFont="1" applyFill="1" applyBorder="1" applyAlignment="1" applyProtection="1">
      <alignment horizontal="center" vertical="center" wrapText="1"/>
    </xf>
    <xf numFmtId="4" fontId="17" fillId="4" borderId="20" xfId="0" applyNumberFormat="1" applyFont="1" applyFill="1" applyBorder="1" applyAlignment="1" applyProtection="1">
      <alignment horizontal="center" vertical="center" wrapText="1"/>
      <protection hidden="1"/>
    </xf>
    <xf numFmtId="4" fontId="5" fillId="4" borderId="22" xfId="0" applyNumberFormat="1" applyFont="1" applyFill="1" applyBorder="1" applyAlignment="1" applyProtection="1">
      <alignment horizontal="center" vertical="center" wrapText="1"/>
    </xf>
    <xf numFmtId="4" fontId="5" fillId="4" borderId="6" xfId="0" applyNumberFormat="1" applyFont="1" applyFill="1" applyBorder="1" applyAlignment="1" applyProtection="1">
      <alignment horizontal="center" vertical="center" wrapText="1"/>
    </xf>
    <xf numFmtId="4" fontId="5" fillId="4" borderId="21" xfId="0" applyNumberFormat="1" applyFont="1" applyFill="1" applyBorder="1" applyAlignment="1" applyProtection="1">
      <alignment horizontal="center" vertical="center" wrapText="1"/>
    </xf>
    <xf numFmtId="0" fontId="50" fillId="4" borderId="13" xfId="0" applyFont="1" applyFill="1" applyBorder="1" applyAlignment="1" applyProtection="1">
      <alignment vertical="center" wrapText="1"/>
      <protection hidden="1"/>
    </xf>
    <xf numFmtId="0" fontId="31" fillId="4" borderId="13" xfId="0" applyFont="1" applyFill="1" applyBorder="1" applyAlignment="1" applyProtection="1">
      <alignment vertical="center" wrapText="1"/>
      <protection hidden="1"/>
    </xf>
    <xf numFmtId="49" fontId="50" fillId="4" borderId="21" xfId="0" applyNumberFormat="1" applyFont="1" applyFill="1" applyBorder="1" applyAlignment="1" applyProtection="1">
      <alignment vertical="center" wrapText="1"/>
      <protection hidden="1"/>
    </xf>
    <xf numFmtId="49" fontId="31" fillId="4" borderId="15" xfId="0" applyNumberFormat="1" applyFont="1" applyFill="1" applyBorder="1" applyAlignment="1" applyProtection="1">
      <alignment vertical="center" wrapText="1"/>
      <protection hidden="1"/>
    </xf>
    <xf numFmtId="0" fontId="33" fillId="4" borderId="6" xfId="0" applyFont="1" applyFill="1" applyBorder="1" applyAlignment="1" applyProtection="1">
      <alignment horizontal="center" vertical="center" wrapText="1"/>
      <protection hidden="1"/>
    </xf>
    <xf numFmtId="0" fontId="33" fillId="4" borderId="16" xfId="0" applyFont="1" applyFill="1" applyBorder="1" applyAlignment="1" applyProtection="1">
      <alignment vertical="center" wrapText="1"/>
      <protection hidden="1"/>
    </xf>
    <xf numFmtId="0" fontId="33" fillId="4" borderId="17" xfId="0" applyFont="1" applyFill="1" applyBorder="1" applyAlignment="1" applyProtection="1">
      <alignment vertical="center" wrapText="1"/>
      <protection hidden="1"/>
    </xf>
    <xf numFmtId="49" fontId="50" fillId="4" borderId="17" xfId="0" applyNumberFormat="1" applyFont="1" applyFill="1" applyBorder="1" applyAlignment="1" applyProtection="1">
      <alignment vertical="center" wrapText="1"/>
      <protection hidden="1"/>
    </xf>
    <xf numFmtId="49" fontId="33" fillId="4" borderId="19" xfId="0" applyNumberFormat="1" applyFont="1" applyFill="1" applyBorder="1" applyAlignment="1" applyProtection="1">
      <alignment horizontal="center" vertical="center" wrapText="1"/>
      <protection hidden="1"/>
    </xf>
    <xf numFmtId="49" fontId="33" fillId="4" borderId="0" xfId="0" applyNumberFormat="1" applyFont="1" applyFill="1" applyBorder="1" applyAlignment="1" applyProtection="1">
      <alignment vertical="center" wrapText="1"/>
      <protection hidden="1"/>
    </xf>
    <xf numFmtId="0" fontId="33" fillId="4" borderId="15" xfId="0" applyFont="1" applyFill="1" applyBorder="1" applyAlignment="1" applyProtection="1">
      <alignment vertical="center" wrapText="1"/>
      <protection hidden="1"/>
    </xf>
    <xf numFmtId="49" fontId="31" fillId="4" borderId="14" xfId="0" applyNumberFormat="1" applyFont="1" applyFill="1" applyBorder="1" applyAlignment="1" applyProtection="1">
      <alignment vertical="center" wrapText="1"/>
      <protection hidden="1"/>
    </xf>
    <xf numFmtId="0" fontId="3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31" fillId="4" borderId="1" xfId="0" applyFont="1" applyFill="1" applyBorder="1" applyAlignment="1" applyProtection="1">
      <alignment horizontal="center" vertical="center" wrapText="1"/>
      <protection hidden="1"/>
    </xf>
    <xf numFmtId="0" fontId="50" fillId="4" borderId="18" xfId="0" applyFont="1" applyFill="1" applyBorder="1" applyAlignment="1" applyProtection="1">
      <alignment vertical="center"/>
      <protection hidden="1"/>
    </xf>
    <xf numFmtId="0" fontId="31" fillId="4" borderId="19" xfId="0" applyFont="1" applyFill="1" applyBorder="1" applyAlignment="1" applyProtection="1">
      <alignment vertical="center" wrapText="1"/>
      <protection hidden="1"/>
    </xf>
    <xf numFmtId="49" fontId="22" fillId="4" borderId="19" xfId="0" applyNumberFormat="1" applyFont="1" applyFill="1" applyBorder="1" applyAlignment="1" applyProtection="1">
      <alignment vertical="center" wrapText="1"/>
      <protection hidden="1"/>
    </xf>
    <xf numFmtId="49" fontId="20" fillId="4" borderId="19" xfId="0" applyNumberFormat="1" applyFont="1" applyFill="1" applyBorder="1" applyAlignment="1" applyProtection="1">
      <alignment vertical="center" wrapText="1"/>
      <protection hidden="1"/>
    </xf>
    <xf numFmtId="49" fontId="3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Font="1" applyFill="1" applyBorder="1" applyAlignment="1" applyProtection="1">
      <alignment horizontal="center" vertical="center" wrapText="1"/>
      <protection hidden="1"/>
    </xf>
    <xf numFmtId="0" fontId="22" fillId="4" borderId="6" xfId="0" applyFont="1" applyFill="1" applyBorder="1" applyAlignment="1" applyProtection="1">
      <alignment vertical="center" wrapText="1"/>
    </xf>
    <xf numFmtId="0" fontId="20" fillId="4" borderId="22" xfId="0" applyFont="1" applyFill="1" applyBorder="1" applyAlignment="1" applyProtection="1">
      <alignment vertical="center" wrapText="1"/>
    </xf>
    <xf numFmtId="0" fontId="51" fillId="4" borderId="22" xfId="0" applyFont="1" applyFill="1" applyBorder="1" applyAlignment="1" applyProtection="1">
      <alignment horizontal="center" vertical="center" wrapText="1"/>
    </xf>
    <xf numFmtId="0" fontId="22" fillId="4" borderId="22" xfId="0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 applyProtection="1">
      <alignment horizontal="center" vertical="center" wrapText="1"/>
    </xf>
    <xf numFmtId="4" fontId="20" fillId="4" borderId="1" xfId="0" applyNumberFormat="1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vertical="center" wrapText="1"/>
    </xf>
    <xf numFmtId="0" fontId="20" fillId="4" borderId="21" xfId="0" applyFont="1" applyFill="1" applyBorder="1" applyAlignment="1" applyProtection="1">
      <alignment vertical="center" wrapText="1"/>
    </xf>
    <xf numFmtId="0" fontId="51" fillId="4" borderId="21" xfId="0" applyFont="1" applyFill="1" applyBorder="1" applyAlignment="1" applyProtection="1">
      <alignment horizontal="center" vertical="center" wrapText="1"/>
    </xf>
    <xf numFmtId="0" fontId="22" fillId="4" borderId="21" xfId="0" applyFont="1" applyFill="1" applyBorder="1" applyAlignment="1" applyProtection="1">
      <alignment horizontal="center" vertical="center" wrapText="1"/>
    </xf>
    <xf numFmtId="49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31" fillId="4" borderId="17" xfId="0" applyNumberFormat="1" applyFont="1" applyFill="1" applyBorder="1" applyAlignment="1" applyProtection="1">
      <alignment vertical="center" wrapText="1"/>
      <protection hidden="1"/>
    </xf>
    <xf numFmtId="0" fontId="20" fillId="4" borderId="44" xfId="0" applyFont="1" applyFill="1" applyBorder="1" applyAlignment="1" applyProtection="1">
      <alignment vertical="center" wrapText="1"/>
      <protection hidden="1"/>
    </xf>
    <xf numFmtId="0" fontId="17" fillId="4" borderId="22" xfId="0" applyFont="1" applyFill="1" applyBorder="1" applyAlignment="1" applyProtection="1">
      <alignment vertical="center" wrapText="1"/>
    </xf>
    <xf numFmtId="4" fontId="20" fillId="4" borderId="22" xfId="0" applyNumberFormat="1" applyFont="1" applyFill="1" applyBorder="1" applyAlignment="1" applyProtection="1">
      <alignment horizontal="center" vertical="center" wrapText="1"/>
    </xf>
    <xf numFmtId="4" fontId="20" fillId="4" borderId="6" xfId="0" applyNumberFormat="1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vertical="center" wrapText="1"/>
    </xf>
    <xf numFmtId="4" fontId="20" fillId="4" borderId="21" xfId="0" applyNumberFormat="1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 applyProtection="1">
      <alignment vertical="center" wrapText="1"/>
      <protection hidden="1"/>
    </xf>
    <xf numFmtId="0" fontId="20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50" fillId="4" borderId="18" xfId="0" applyFont="1" applyFill="1" applyBorder="1" applyAlignment="1" applyProtection="1">
      <alignment vertical="center" wrapText="1"/>
      <protection hidden="1"/>
    </xf>
    <xf numFmtId="49" fontId="50" fillId="4" borderId="20" xfId="0" applyNumberFormat="1" applyFont="1" applyFill="1" applyBorder="1" applyAlignment="1" applyProtection="1">
      <alignment vertical="center" wrapText="1"/>
      <protection hidden="1"/>
    </xf>
    <xf numFmtId="49" fontId="31" fillId="4" borderId="21" xfId="0" applyNumberFormat="1" applyFont="1" applyFill="1" applyBorder="1" applyAlignment="1" applyProtection="1">
      <alignment vertical="center" wrapText="1"/>
      <protection hidden="1"/>
    </xf>
    <xf numFmtId="0" fontId="33" fillId="4" borderId="18" xfId="0" applyFont="1" applyFill="1" applyBorder="1" applyAlignment="1" applyProtection="1">
      <alignment vertical="center" wrapText="1"/>
      <protection hidden="1"/>
    </xf>
    <xf numFmtId="0" fontId="33" fillId="4" borderId="19" xfId="0" applyFont="1" applyFill="1" applyBorder="1" applyAlignment="1" applyProtection="1">
      <alignment vertical="center" wrapText="1"/>
      <protection hidden="1"/>
    </xf>
    <xf numFmtId="49" fontId="33" fillId="4" borderId="19" xfId="0" applyNumberFormat="1" applyFont="1" applyFill="1" applyBorder="1" applyAlignment="1" applyProtection="1">
      <alignment vertical="center" wrapText="1"/>
      <protection hidden="1"/>
    </xf>
    <xf numFmtId="0" fontId="33" fillId="4" borderId="20" xfId="0" applyFont="1" applyFill="1" applyBorder="1" applyAlignment="1" applyProtection="1">
      <alignment vertical="center" wrapText="1"/>
      <protection hidden="1"/>
    </xf>
    <xf numFmtId="49" fontId="32" fillId="4" borderId="19" xfId="0" applyNumberFormat="1" applyFont="1" applyFill="1" applyBorder="1" applyAlignment="1" applyProtection="1">
      <alignment vertical="center" wrapText="1"/>
      <protection hidden="1"/>
    </xf>
    <xf numFmtId="0" fontId="56" fillId="4" borderId="6" xfId="0" applyNumberFormat="1" applyFont="1" applyFill="1" applyBorder="1" applyAlignment="1" applyProtection="1">
      <alignment horizontal="center" vertical="center" wrapText="1"/>
    </xf>
    <xf numFmtId="0" fontId="32" fillId="4" borderId="20" xfId="0" applyFont="1" applyFill="1" applyBorder="1" applyAlignment="1" applyProtection="1">
      <alignment vertical="center" wrapText="1"/>
      <protection hidden="1"/>
    </xf>
    <xf numFmtId="0" fontId="35" fillId="4" borderId="16" xfId="0" applyFont="1" applyFill="1" applyBorder="1" applyAlignment="1" applyProtection="1">
      <alignment vertical="center" wrapText="1"/>
      <protection hidden="1"/>
    </xf>
    <xf numFmtId="0" fontId="35" fillId="4" borderId="17" xfId="0" applyFont="1" applyFill="1" applyBorder="1" applyAlignment="1" applyProtection="1">
      <alignment vertical="center" wrapText="1"/>
      <protection hidden="1"/>
    </xf>
    <xf numFmtId="49" fontId="22" fillId="4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4" borderId="19" xfId="0" applyNumberFormat="1" applyFont="1" applyFill="1" applyBorder="1" applyAlignment="1" applyProtection="1">
      <alignment horizontal="center" vertical="center" wrapText="1"/>
      <protection hidden="1"/>
    </xf>
    <xf numFmtId="49" fontId="23" fillId="4" borderId="19" xfId="0" applyNumberFormat="1" applyFont="1" applyFill="1" applyBorder="1" applyAlignment="1" applyProtection="1">
      <alignment horizontal="center" vertical="center" wrapText="1"/>
      <protection hidden="1"/>
    </xf>
    <xf numFmtId="0" fontId="23" fillId="4" borderId="20" xfId="0" applyFont="1" applyFill="1" applyBorder="1" applyAlignment="1" applyProtection="1">
      <alignment horizontal="center" vertical="center" wrapText="1"/>
      <protection hidden="1"/>
    </xf>
    <xf numFmtId="0" fontId="35" fillId="4" borderId="19" xfId="0" applyFont="1" applyFill="1" applyBorder="1" applyAlignment="1" applyProtection="1">
      <alignment vertical="center" wrapText="1"/>
      <protection hidden="1"/>
    </xf>
    <xf numFmtId="1" fontId="23" fillId="4" borderId="20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6" xfId="0" applyNumberFormat="1" applyFont="1" applyFill="1" applyBorder="1" applyAlignment="1" applyProtection="1">
      <alignment horizontal="center" vertical="center" wrapText="1"/>
    </xf>
    <xf numFmtId="0" fontId="20" fillId="4" borderId="18" xfId="0" applyNumberFormat="1" applyFont="1" applyFill="1" applyBorder="1" applyAlignment="1" applyProtection="1">
      <alignment horizontal="center" vertical="center" wrapText="1"/>
    </xf>
    <xf numFmtId="0" fontId="20" fillId="4" borderId="13" xfId="0" applyNumberFormat="1" applyFont="1" applyFill="1" applyBorder="1" applyAlignment="1" applyProtection="1">
      <alignment horizontal="center" vertical="center" wrapText="1"/>
    </xf>
    <xf numFmtId="0" fontId="20" fillId="4" borderId="48" xfId="0" applyNumberFormat="1" applyFont="1" applyFill="1" applyBorder="1" applyAlignment="1" applyProtection="1">
      <alignment horizontal="center" vertical="center" wrapText="1"/>
    </xf>
    <xf numFmtId="0" fontId="4" fillId="9" borderId="0" xfId="1" applyFont="1" applyFill="1" applyBorder="1" applyAlignment="1" applyProtection="1">
      <alignment horizontal="center" vertical="justify" wrapText="1"/>
      <protection locked="0"/>
    </xf>
    <xf numFmtId="49" fontId="43" fillId="9" borderId="45" xfId="1" applyNumberFormat="1" applyFont="1" applyFill="1" applyBorder="1" applyAlignment="1" applyProtection="1">
      <alignment horizontal="left" vertical="center" wrapText="1"/>
      <protection locked="0"/>
    </xf>
    <xf numFmtId="49" fontId="43" fillId="9" borderId="24" xfId="1" applyNumberFormat="1" applyFont="1" applyFill="1" applyBorder="1" applyAlignment="1" applyProtection="1">
      <alignment horizontal="left" vertical="center" wrapText="1"/>
      <protection locked="0"/>
    </xf>
    <xf numFmtId="49" fontId="43" fillId="9" borderId="25" xfId="1" applyNumberFormat="1" applyFont="1" applyFill="1" applyBorder="1" applyAlignment="1" applyProtection="1">
      <alignment horizontal="left" vertical="center" wrapText="1"/>
      <protection locked="0"/>
    </xf>
    <xf numFmtId="49" fontId="43" fillId="9" borderId="26" xfId="1" applyNumberFormat="1" applyFont="1" applyFill="1" applyBorder="1" applyAlignment="1" applyProtection="1">
      <alignment horizontal="left" vertical="center" wrapText="1"/>
      <protection locked="0"/>
    </xf>
    <xf numFmtId="49" fontId="43" fillId="9" borderId="7" xfId="1" applyNumberFormat="1" applyFont="1" applyFill="1" applyBorder="1" applyAlignment="1" applyProtection="1">
      <alignment horizontal="left" vertical="center" wrapText="1"/>
      <protection locked="0"/>
    </xf>
    <xf numFmtId="49" fontId="43" fillId="9" borderId="27" xfId="1" applyNumberFormat="1" applyFont="1" applyFill="1" applyBorder="1" applyAlignment="1" applyProtection="1">
      <alignment horizontal="left" vertical="center" wrapText="1"/>
      <protection locked="0"/>
    </xf>
    <xf numFmtId="0" fontId="4" fillId="0" borderId="39" xfId="1" applyFont="1" applyFill="1" applyBorder="1" applyAlignment="1" applyProtection="1">
      <alignment horizontal="left" vertical="justify" wrapText="1"/>
    </xf>
    <xf numFmtId="0" fontId="4" fillId="0" borderId="42" xfId="1" applyFont="1" applyFill="1" applyBorder="1" applyAlignment="1" applyProtection="1">
      <alignment horizontal="left" vertical="justify" wrapText="1"/>
    </xf>
    <xf numFmtId="0" fontId="4" fillId="0" borderId="46" xfId="1" applyFont="1" applyFill="1" applyBorder="1" applyAlignment="1" applyProtection="1">
      <alignment horizontal="left" vertical="justify" wrapText="1"/>
    </xf>
    <xf numFmtId="49" fontId="11" fillId="0" borderId="3" xfId="2" applyNumberFormat="1" applyFont="1" applyBorder="1" applyAlignment="1" applyProtection="1">
      <alignment horizontal="left" vertical="justify" wrapText="1"/>
    </xf>
    <xf numFmtId="49" fontId="11" fillId="0" borderId="4" xfId="2" applyNumberFormat="1" applyFont="1" applyBorder="1" applyAlignment="1" applyProtection="1">
      <alignment horizontal="left" vertical="justify" wrapText="1"/>
    </xf>
    <xf numFmtId="0" fontId="11" fillId="0" borderId="0" xfId="3" applyFont="1" applyAlignment="1" applyProtection="1">
      <alignment horizontal="left" vertical="justify" wrapText="1"/>
    </xf>
    <xf numFmtId="0" fontId="3" fillId="0" borderId="34" xfId="2" applyFont="1" applyBorder="1" applyAlignment="1" applyProtection="1">
      <alignment horizontal="center" vertical="center" wrapText="1"/>
    </xf>
    <xf numFmtId="49" fontId="58" fillId="0" borderId="36" xfId="2" applyNumberFormat="1" applyFont="1" applyBorder="1" applyAlignment="1" applyProtection="1">
      <alignment horizontal="left" vertical="center" wrapText="1"/>
    </xf>
    <xf numFmtId="49" fontId="58" fillId="0" borderId="37" xfId="2" applyNumberFormat="1" applyFont="1" applyBorder="1" applyAlignment="1" applyProtection="1">
      <alignment horizontal="left" vertical="center" wrapText="1"/>
    </xf>
    <xf numFmtId="49" fontId="58" fillId="0" borderId="38" xfId="2" applyNumberFormat="1" applyFont="1" applyBorder="1" applyAlignment="1" applyProtection="1">
      <alignment horizontal="left" vertical="center" wrapText="1"/>
    </xf>
    <xf numFmtId="0" fontId="5" fillId="0" borderId="36" xfId="4" applyFont="1" applyFill="1" applyBorder="1" applyAlignment="1" applyProtection="1">
      <alignment horizontal="left" vertical="center" wrapText="1"/>
    </xf>
    <xf numFmtId="0" fontId="5" fillId="0" borderId="40" xfId="4" applyFont="1" applyFill="1" applyBorder="1" applyAlignment="1" applyProtection="1">
      <alignment horizontal="left" vertical="center" wrapText="1"/>
    </xf>
    <xf numFmtId="49" fontId="11" fillId="0" borderId="0" xfId="2" applyNumberFormat="1" applyFont="1" applyAlignment="1" applyProtection="1">
      <alignment horizontal="left" vertical="justify" wrapText="1"/>
    </xf>
    <xf numFmtId="0" fontId="3" fillId="0" borderId="9" xfId="2" applyFont="1" applyBorder="1" applyAlignment="1" applyProtection="1">
      <alignment horizontal="center" vertical="justify" wrapText="1"/>
    </xf>
    <xf numFmtId="0" fontId="3" fillId="0" borderId="7" xfId="2" applyFont="1" applyBorder="1" applyAlignment="1" applyProtection="1">
      <alignment horizontal="center" vertical="justify" wrapText="1"/>
    </xf>
    <xf numFmtId="0" fontId="3" fillId="0" borderId="27" xfId="2" applyFont="1" applyBorder="1" applyAlignment="1" applyProtection="1">
      <alignment horizontal="center" vertical="justify" wrapText="1"/>
    </xf>
    <xf numFmtId="0" fontId="12" fillId="0" borderId="9" xfId="2" applyFont="1" applyFill="1" applyBorder="1" applyAlignment="1" applyProtection="1">
      <alignment horizontal="left" vertical="justify" wrapText="1"/>
    </xf>
    <xf numFmtId="0" fontId="12" fillId="0" borderId="8" xfId="2" applyFont="1" applyFill="1" applyBorder="1" applyAlignment="1" applyProtection="1">
      <alignment horizontal="left" vertical="justify" wrapText="1"/>
    </xf>
    <xf numFmtId="0" fontId="43" fillId="9" borderId="2" xfId="1" applyFont="1" applyFill="1" applyBorder="1" applyAlignment="1" applyProtection="1">
      <alignment horizontal="center" vertical="justify" wrapText="1"/>
      <protection locked="0"/>
    </xf>
    <xf numFmtId="0" fontId="2" fillId="0" borderId="17" xfId="2" applyFont="1" applyBorder="1" applyAlignment="1" applyProtection="1">
      <alignment horizontal="right" vertical="justify"/>
    </xf>
    <xf numFmtId="0" fontId="49" fillId="0" borderId="0" xfId="1" applyFont="1" applyAlignment="1" applyProtection="1">
      <alignment horizontal="center" vertical="center"/>
    </xf>
    <xf numFmtId="0" fontId="10" fillId="0" borderId="47" xfId="2" applyFont="1" applyBorder="1" applyAlignment="1" applyProtection="1">
      <alignment horizontal="center" vertical="justify" wrapText="1"/>
    </xf>
    <xf numFmtId="0" fontId="10" fillId="0" borderId="17" xfId="2" applyFont="1" applyBorder="1" applyAlignment="1" applyProtection="1">
      <alignment horizontal="center" vertical="justify" wrapText="1"/>
    </xf>
    <xf numFmtId="0" fontId="10" fillId="0" borderId="44" xfId="2" applyFont="1" applyBorder="1" applyAlignment="1" applyProtection="1">
      <alignment horizontal="center" vertical="justify" wrapText="1"/>
    </xf>
    <xf numFmtId="49" fontId="11" fillId="0" borderId="5" xfId="2" applyNumberFormat="1" applyFont="1" applyBorder="1" applyAlignment="1" applyProtection="1">
      <alignment horizontal="left" vertical="justify" wrapText="1"/>
    </xf>
    <xf numFmtId="49" fontId="5" fillId="0" borderId="36" xfId="2" applyNumberFormat="1" applyFont="1" applyBorder="1" applyAlignment="1" applyProtection="1">
      <alignment horizontal="left" vertical="center" wrapText="1"/>
    </xf>
    <xf numFmtId="49" fontId="5" fillId="0" borderId="37" xfId="2" applyNumberFormat="1" applyFont="1" applyBorder="1" applyAlignment="1" applyProtection="1">
      <alignment horizontal="left" vertical="center" wrapText="1"/>
    </xf>
    <xf numFmtId="0" fontId="10" fillId="4" borderId="0" xfId="0" applyFont="1" applyFill="1" applyAlignment="1" applyProtection="1">
      <alignment horizontal="center" vertical="center" wrapText="1"/>
      <protection hidden="1"/>
    </xf>
    <xf numFmtId="0" fontId="31" fillId="4" borderId="18" xfId="0" applyFont="1" applyFill="1" applyBorder="1" applyAlignment="1" applyProtection="1">
      <alignment horizontal="left" vertical="center" wrapText="1"/>
      <protection hidden="1"/>
    </xf>
    <xf numFmtId="0" fontId="31" fillId="4" borderId="19" xfId="0" applyFont="1" applyFill="1" applyBorder="1" applyAlignment="1" applyProtection="1">
      <alignment horizontal="left" vertical="center" wrapText="1"/>
      <protection hidden="1"/>
    </xf>
    <xf numFmtId="0" fontId="31" fillId="4" borderId="18" xfId="0" applyFont="1" applyFill="1" applyBorder="1" applyAlignment="1" applyProtection="1">
      <alignment vertical="center" wrapText="1"/>
      <protection hidden="1"/>
    </xf>
    <xf numFmtId="0" fontId="31" fillId="4" borderId="19" xfId="0" applyFont="1" applyFill="1" applyBorder="1" applyAlignment="1" applyProtection="1">
      <alignment vertical="center" wrapText="1"/>
      <protection hidden="1"/>
    </xf>
    <xf numFmtId="0" fontId="37" fillId="4" borderId="18" xfId="0" applyFont="1" applyFill="1" applyBorder="1" applyAlignment="1" applyProtection="1">
      <alignment horizontal="left" vertical="center" wrapText="1"/>
      <protection hidden="1"/>
    </xf>
    <xf numFmtId="0" fontId="37" fillId="4" borderId="19" xfId="0" applyFont="1" applyFill="1" applyBorder="1" applyAlignment="1" applyProtection="1">
      <alignment horizontal="left" vertical="center" wrapText="1"/>
      <protection hidden="1"/>
    </xf>
    <xf numFmtId="0" fontId="31" fillId="4" borderId="14" xfId="0" applyFont="1" applyFill="1" applyBorder="1" applyAlignment="1" applyProtection="1">
      <alignment horizontal="left" vertical="center" wrapText="1"/>
      <protection hidden="1"/>
    </xf>
    <xf numFmtId="0" fontId="20" fillId="4" borderId="6" xfId="0" applyFont="1" applyFill="1" applyBorder="1" applyAlignment="1" applyProtection="1">
      <alignment horizontal="center" vertical="center" wrapText="1"/>
      <protection hidden="1"/>
    </xf>
    <xf numFmtId="0" fontId="20" fillId="4" borderId="21" xfId="0" applyFont="1" applyFill="1" applyBorder="1" applyAlignment="1" applyProtection="1">
      <alignment horizontal="center" vertical="center" wrapText="1"/>
      <protection hidden="1"/>
    </xf>
    <xf numFmtId="0" fontId="20" fillId="4" borderId="23" xfId="0" applyFont="1" applyFill="1" applyBorder="1" applyAlignment="1" applyProtection="1">
      <alignment horizontal="center" vertical="center" wrapText="1"/>
      <protection hidden="1"/>
    </xf>
    <xf numFmtId="0" fontId="20" fillId="4" borderId="22" xfId="0" applyFont="1" applyFill="1" applyBorder="1" applyAlignment="1" applyProtection="1">
      <alignment horizontal="center" vertical="center" wrapText="1"/>
      <protection hidden="1"/>
    </xf>
    <xf numFmtId="0" fontId="39" fillId="4" borderId="13" xfId="0" applyFont="1" applyFill="1" applyBorder="1" applyAlignment="1" applyProtection="1">
      <alignment horizontal="center" vertical="center" wrapText="1"/>
      <protection hidden="1"/>
    </xf>
    <xf numFmtId="0" fontId="39" fillId="4" borderId="14" xfId="0" applyFont="1" applyFill="1" applyBorder="1" applyAlignment="1" applyProtection="1">
      <alignment horizontal="center" vertical="center" wrapText="1"/>
      <protection hidden="1"/>
    </xf>
    <xf numFmtId="0" fontId="39" fillId="4" borderId="15" xfId="0" applyFont="1" applyFill="1" applyBorder="1" applyAlignment="1" applyProtection="1">
      <alignment horizontal="center" vertical="center" wrapText="1"/>
      <protection hidden="1"/>
    </xf>
    <xf numFmtId="0" fontId="39" fillId="4" borderId="16" xfId="0" applyFont="1" applyFill="1" applyBorder="1" applyAlignment="1" applyProtection="1">
      <alignment horizontal="center" vertical="center" wrapText="1"/>
      <protection hidden="1"/>
    </xf>
    <xf numFmtId="0" fontId="39" fillId="4" borderId="17" xfId="0" applyFont="1" applyFill="1" applyBorder="1" applyAlignment="1" applyProtection="1">
      <alignment horizontal="center" vertical="center" wrapText="1"/>
      <protection hidden="1"/>
    </xf>
    <xf numFmtId="0" fontId="39" fillId="4" borderId="44" xfId="0" applyFont="1" applyFill="1" applyBorder="1" applyAlignment="1" applyProtection="1">
      <alignment horizontal="center" vertical="center" wrapText="1"/>
      <protection hidden="1"/>
    </xf>
    <xf numFmtId="4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2" fillId="4" borderId="18" xfId="0" applyFont="1" applyFill="1" applyBorder="1" applyAlignment="1" applyProtection="1">
      <alignment horizontal="left" vertical="center" wrapText="1"/>
      <protection hidden="1"/>
    </xf>
    <xf numFmtId="0" fontId="32" fillId="4" borderId="19" xfId="0" applyFont="1" applyFill="1" applyBorder="1" applyAlignment="1" applyProtection="1">
      <alignment horizontal="left" vertical="center" wrapText="1"/>
      <protection hidden="1"/>
    </xf>
    <xf numFmtId="0" fontId="38" fillId="4" borderId="18" xfId="0" applyFont="1" applyFill="1" applyBorder="1" applyAlignment="1" applyProtection="1">
      <alignment horizontal="left" vertical="center" wrapText="1"/>
      <protection hidden="1"/>
    </xf>
    <xf numFmtId="0" fontId="38" fillId="4" borderId="19" xfId="0" applyFont="1" applyFill="1" applyBorder="1" applyAlignment="1" applyProtection="1">
      <alignment horizontal="left" vertical="center" wrapText="1"/>
      <protection hidden="1"/>
    </xf>
    <xf numFmtId="0" fontId="22" fillId="4" borderId="6" xfId="0" applyFont="1" applyFill="1" applyBorder="1" applyAlignment="1" applyProtection="1">
      <alignment horizontal="center" vertical="center" wrapText="1"/>
      <protection hidden="1"/>
    </xf>
    <xf numFmtId="49" fontId="22" fillId="4" borderId="6" xfId="0" applyNumberFormat="1" applyFont="1" applyFill="1" applyBorder="1" applyAlignment="1" applyProtection="1">
      <alignment horizontal="center" vertical="center" wrapText="1"/>
      <protection hidden="1"/>
    </xf>
    <xf numFmtId="49" fontId="20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21" fillId="4" borderId="21" xfId="0" applyNumberFormat="1" applyFont="1" applyFill="1" applyBorder="1" applyAlignment="1" applyProtection="1">
      <alignment horizontal="center" vertical="center" wrapText="1"/>
      <protection hidden="1"/>
    </xf>
    <xf numFmtId="4" fontId="21" fillId="4" borderId="22" xfId="0" applyNumberFormat="1" applyFont="1" applyFill="1" applyBorder="1" applyAlignment="1" applyProtection="1">
      <alignment horizontal="center" vertical="center" wrapText="1"/>
      <protection hidden="1"/>
    </xf>
    <xf numFmtId="49" fontId="20" fillId="4" borderId="18" xfId="0" applyNumberFormat="1" applyFont="1" applyFill="1" applyBorder="1" applyAlignment="1" applyProtection="1">
      <alignment horizontal="center" vertical="center" wrapText="1"/>
    </xf>
    <xf numFmtId="49" fontId="20" fillId="4" borderId="2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hidden="1"/>
    </xf>
    <xf numFmtId="0" fontId="20" fillId="0" borderId="6" xfId="0" applyFont="1" applyBorder="1" applyAlignment="1" applyProtection="1">
      <alignment horizontal="center" vertical="center" wrapText="1"/>
      <protection hidden="1"/>
    </xf>
    <xf numFmtId="0" fontId="22" fillId="0" borderId="6" xfId="0" applyFont="1" applyBorder="1" applyAlignment="1" applyProtection="1">
      <alignment horizontal="center" vertical="center" wrapText="1"/>
      <protection hidden="1"/>
    </xf>
    <xf numFmtId="0" fontId="20" fillId="0" borderId="21" xfId="0" applyFont="1" applyBorder="1" applyAlignment="1" applyProtection="1">
      <alignment horizontal="center" vertical="center" wrapText="1"/>
      <protection hidden="1"/>
    </xf>
    <xf numFmtId="0" fontId="20" fillId="0" borderId="23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 wrapText="1"/>
      <protection hidden="1"/>
    </xf>
    <xf numFmtId="49" fontId="22" fillId="0" borderId="6" xfId="0" applyNumberFormat="1" applyFont="1" applyBorder="1" applyAlignment="1" applyProtection="1">
      <alignment horizontal="center" vertical="center" wrapText="1"/>
      <protection hidden="1"/>
    </xf>
    <xf numFmtId="49" fontId="20" fillId="9" borderId="6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8" xfId="0" applyNumberFormat="1" applyFont="1" applyBorder="1" applyAlignment="1" applyProtection="1">
      <alignment horizontal="center" vertical="center" wrapText="1"/>
    </xf>
    <xf numFmtId="49" fontId="20" fillId="0" borderId="20" xfId="0" applyNumberFormat="1" applyFont="1" applyBorder="1" applyAlignment="1" applyProtection="1">
      <alignment horizontal="center" vertical="center" wrapText="1"/>
    </xf>
    <xf numFmtId="0" fontId="31" fillId="6" borderId="18" xfId="0" applyFont="1" applyFill="1" applyBorder="1" applyAlignment="1" applyProtection="1">
      <alignment vertical="center" wrapText="1"/>
      <protection hidden="1"/>
    </xf>
    <xf numFmtId="0" fontId="31" fillId="6" borderId="19" xfId="0" applyFont="1" applyFill="1" applyBorder="1" applyAlignment="1" applyProtection="1">
      <alignment vertical="center" wrapText="1"/>
      <protection hidden="1"/>
    </xf>
    <xf numFmtId="4" fontId="21" fillId="0" borderId="21" xfId="0" applyNumberFormat="1" applyFont="1" applyFill="1" applyBorder="1" applyAlignment="1" applyProtection="1">
      <alignment horizontal="center" vertical="center" wrapText="1"/>
      <protection hidden="1"/>
    </xf>
    <xf numFmtId="4" fontId="2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39" fillId="5" borderId="13" xfId="0" applyFont="1" applyFill="1" applyBorder="1" applyAlignment="1" applyProtection="1">
      <alignment horizontal="center" vertical="center" wrapText="1"/>
      <protection hidden="1"/>
    </xf>
    <xf numFmtId="0" fontId="39" fillId="5" borderId="14" xfId="0" applyFont="1" applyFill="1" applyBorder="1" applyAlignment="1" applyProtection="1">
      <alignment horizontal="center" vertical="center" wrapText="1"/>
      <protection hidden="1"/>
    </xf>
    <xf numFmtId="0" fontId="39" fillId="5" borderId="15" xfId="0" applyFont="1" applyFill="1" applyBorder="1" applyAlignment="1" applyProtection="1">
      <alignment horizontal="center" vertical="center" wrapText="1"/>
      <protection hidden="1"/>
    </xf>
    <xf numFmtId="0" fontId="39" fillId="5" borderId="16" xfId="0" applyFont="1" applyFill="1" applyBorder="1" applyAlignment="1" applyProtection="1">
      <alignment horizontal="center" vertical="center" wrapText="1"/>
      <protection hidden="1"/>
    </xf>
    <xf numFmtId="0" fontId="39" fillId="5" borderId="17" xfId="0" applyFont="1" applyFill="1" applyBorder="1" applyAlignment="1" applyProtection="1">
      <alignment horizontal="center" vertical="center" wrapText="1"/>
      <protection hidden="1"/>
    </xf>
    <xf numFmtId="0" fontId="39" fillId="5" borderId="44" xfId="0" applyFont="1" applyFill="1" applyBorder="1" applyAlignment="1" applyProtection="1">
      <alignment horizontal="center" vertical="center" wrapText="1"/>
      <protection hidden="1"/>
    </xf>
    <xf numFmtId="0" fontId="37" fillId="6" borderId="18" xfId="0" applyFont="1" applyFill="1" applyBorder="1" applyAlignment="1" applyProtection="1">
      <alignment horizontal="left" vertical="center" wrapText="1"/>
      <protection hidden="1"/>
    </xf>
    <xf numFmtId="0" fontId="37" fillId="6" borderId="19" xfId="0" applyFont="1" applyFill="1" applyBorder="1" applyAlignment="1" applyProtection="1">
      <alignment horizontal="left" vertical="center" wrapText="1"/>
      <protection hidden="1"/>
    </xf>
    <xf numFmtId="0" fontId="32" fillId="6" borderId="18" xfId="0" applyFont="1" applyFill="1" applyBorder="1" applyAlignment="1" applyProtection="1">
      <alignment horizontal="left" vertical="center" wrapText="1"/>
      <protection hidden="1"/>
    </xf>
    <xf numFmtId="0" fontId="32" fillId="6" borderId="19" xfId="0" applyFont="1" applyFill="1" applyBorder="1" applyAlignment="1" applyProtection="1">
      <alignment horizontal="left" vertical="center" wrapText="1"/>
      <protection hidden="1"/>
    </xf>
    <xf numFmtId="0" fontId="31" fillId="6" borderId="18" xfId="0" applyFont="1" applyFill="1" applyBorder="1" applyAlignment="1" applyProtection="1">
      <alignment horizontal="left" vertical="center" wrapText="1"/>
      <protection hidden="1"/>
    </xf>
    <xf numFmtId="0" fontId="31" fillId="6" borderId="19" xfId="0" applyFont="1" applyFill="1" applyBorder="1" applyAlignment="1" applyProtection="1">
      <alignment horizontal="left" vertical="center" wrapText="1"/>
      <protection hidden="1"/>
    </xf>
    <xf numFmtId="0" fontId="38" fillId="6" borderId="18" xfId="0" applyFont="1" applyFill="1" applyBorder="1" applyAlignment="1" applyProtection="1">
      <alignment horizontal="left" vertical="center" wrapText="1"/>
      <protection hidden="1"/>
    </xf>
    <xf numFmtId="0" fontId="38" fillId="6" borderId="19" xfId="0" applyFont="1" applyFill="1" applyBorder="1" applyAlignment="1" applyProtection="1">
      <alignment horizontal="left" vertical="center" wrapText="1"/>
      <protection hidden="1"/>
    </xf>
    <xf numFmtId="0" fontId="31" fillId="10" borderId="18" xfId="0" applyFont="1" applyFill="1" applyBorder="1" applyAlignment="1" applyProtection="1">
      <alignment horizontal="left" vertical="center" wrapText="1"/>
      <protection hidden="1"/>
    </xf>
    <xf numFmtId="0" fontId="31" fillId="10" borderId="19" xfId="0" applyFont="1" applyFill="1" applyBorder="1" applyAlignment="1" applyProtection="1">
      <alignment horizontal="left" vertical="center" wrapText="1"/>
      <protection hidden="1"/>
    </xf>
    <xf numFmtId="0" fontId="31" fillId="8" borderId="18" xfId="0" applyFont="1" applyFill="1" applyBorder="1" applyAlignment="1" applyProtection="1">
      <alignment horizontal="left" vertical="center" wrapText="1"/>
      <protection hidden="1"/>
    </xf>
    <xf numFmtId="0" fontId="31" fillId="8" borderId="14" xfId="0" applyFont="1" applyFill="1" applyBorder="1" applyAlignment="1" applyProtection="1">
      <alignment horizontal="left" vertical="center" wrapText="1"/>
      <protection hidden="1"/>
    </xf>
    <xf numFmtId="0" fontId="32" fillId="10" borderId="18" xfId="0" applyFont="1" applyFill="1" applyBorder="1" applyAlignment="1" applyProtection="1">
      <alignment horizontal="left" vertical="center" wrapText="1"/>
      <protection hidden="1"/>
    </xf>
    <xf numFmtId="0" fontId="32" fillId="10" borderId="19" xfId="0" applyFont="1" applyFill="1" applyBorder="1" applyAlignment="1" applyProtection="1">
      <alignment horizontal="left" vertical="center" wrapText="1"/>
      <protection hidden="1"/>
    </xf>
    <xf numFmtId="0" fontId="31" fillId="10" borderId="18" xfId="0" applyFont="1" applyFill="1" applyBorder="1" applyAlignment="1" applyProtection="1">
      <alignment vertical="center" wrapText="1"/>
      <protection hidden="1"/>
    </xf>
    <xf numFmtId="0" fontId="31" fillId="10" borderId="19" xfId="0" applyFont="1" applyFill="1" applyBorder="1" applyAlignment="1" applyProtection="1">
      <alignment vertical="center" wrapText="1"/>
      <protection hidden="1"/>
    </xf>
  </cellXfs>
  <cellStyles count="18">
    <cellStyle name="Currency_TapePivot" xfId="12"/>
    <cellStyle name="Normal_ALLOC1" xfId="13"/>
    <cellStyle name="Гиперссылка 2" xfId="11"/>
    <cellStyle name="Гиперссылка 3" xfId="15"/>
    <cellStyle name="Обычный" xfId="0" builtinId="0"/>
    <cellStyle name="Обычный 10" xfId="8"/>
    <cellStyle name="Обычный 11" xfId="9"/>
    <cellStyle name="Обычный 2" xfId="1"/>
    <cellStyle name="Обычный 2 2" xfId="10"/>
    <cellStyle name="Обычный 2 3" xfId="16"/>
    <cellStyle name="Обычный 3" xfId="2"/>
    <cellStyle name="Обычный 3 2" xfId="14"/>
    <cellStyle name="Обычный 3 3" xfId="17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10">
    <dxf>
      <font>
        <color theme="0"/>
      </font>
    </dxf>
    <dxf>
      <font>
        <color rgb="FFFF0000"/>
      </font>
    </dxf>
    <dxf>
      <font>
        <b val="0"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b val="0"/>
        <i val="0"/>
      </font>
    </dxf>
    <dxf>
      <font>
        <b/>
        <i val="0"/>
      </font>
    </dxf>
    <dxf>
      <font>
        <color theme="0"/>
      </font>
    </dxf>
  </dxfs>
  <tableStyles count="0" defaultTableStyle="TableStyleMedium9" defaultPivotStyle="PivotStyleLight16"/>
  <colors>
    <mruColors>
      <color rgb="FFFFFFCC"/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7" Type="http://schemas.openxmlformats.org/officeDocument/2006/relationships/image" Target="../media/image14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6" Type="http://schemas.openxmlformats.org/officeDocument/2006/relationships/image" Target="../media/image20.emf"/><Relationship Id="rId5" Type="http://schemas.openxmlformats.org/officeDocument/2006/relationships/image" Target="../media/image19.emf"/><Relationship Id="rId4" Type="http://schemas.openxmlformats.org/officeDocument/2006/relationships/image" Target="../media/image18.emf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22.emf"/><Relationship Id="rId7" Type="http://schemas.openxmlformats.org/officeDocument/2006/relationships/image" Target="../media/image19.emf"/><Relationship Id="rId2" Type="http://schemas.openxmlformats.org/officeDocument/2006/relationships/image" Target="../media/image21.emf"/><Relationship Id="rId1" Type="http://schemas.openxmlformats.org/officeDocument/2006/relationships/image" Target="../media/image15.emf"/><Relationship Id="rId6" Type="http://schemas.openxmlformats.org/officeDocument/2006/relationships/image" Target="../media/image18.emf"/><Relationship Id="rId5" Type="http://schemas.openxmlformats.org/officeDocument/2006/relationships/image" Target="../media/image17.emf"/><Relationship Id="rId4" Type="http://schemas.openxmlformats.org/officeDocument/2006/relationships/image" Target="../media/image1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3.xml"/><Relationship Id="rId3" Type="http://schemas.openxmlformats.org/officeDocument/2006/relationships/control" Target="../activeX/activeX8.xml"/><Relationship Id="rId7" Type="http://schemas.openxmlformats.org/officeDocument/2006/relationships/control" Target="../activeX/activeX1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1.xml"/><Relationship Id="rId5" Type="http://schemas.openxmlformats.org/officeDocument/2006/relationships/control" Target="../activeX/activeX10.xml"/><Relationship Id="rId4" Type="http://schemas.openxmlformats.org/officeDocument/2006/relationships/control" Target="../activeX/activeX9.xml"/><Relationship Id="rId9" Type="http://schemas.openxmlformats.org/officeDocument/2006/relationships/control" Target="../activeX/activeX14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25.xml"/><Relationship Id="rId18" Type="http://schemas.openxmlformats.org/officeDocument/2006/relationships/control" Target="../activeX/activeX30.xml"/><Relationship Id="rId26" Type="http://schemas.openxmlformats.org/officeDocument/2006/relationships/control" Target="../activeX/activeX38.xml"/><Relationship Id="rId39" Type="http://schemas.openxmlformats.org/officeDocument/2006/relationships/control" Target="../activeX/activeX51.xml"/><Relationship Id="rId21" Type="http://schemas.openxmlformats.org/officeDocument/2006/relationships/control" Target="../activeX/activeX33.xml"/><Relationship Id="rId34" Type="http://schemas.openxmlformats.org/officeDocument/2006/relationships/control" Target="../activeX/activeX46.xml"/><Relationship Id="rId42" Type="http://schemas.openxmlformats.org/officeDocument/2006/relationships/control" Target="../activeX/activeX54.xml"/><Relationship Id="rId47" Type="http://schemas.openxmlformats.org/officeDocument/2006/relationships/control" Target="../activeX/activeX59.xml"/><Relationship Id="rId50" Type="http://schemas.openxmlformats.org/officeDocument/2006/relationships/control" Target="../activeX/activeX62.xml"/><Relationship Id="rId55" Type="http://schemas.openxmlformats.org/officeDocument/2006/relationships/control" Target="../activeX/activeX67.xml"/><Relationship Id="rId7" Type="http://schemas.openxmlformats.org/officeDocument/2006/relationships/control" Target="../activeX/activeX19.xml"/><Relationship Id="rId12" Type="http://schemas.openxmlformats.org/officeDocument/2006/relationships/control" Target="../activeX/activeX24.xml"/><Relationship Id="rId17" Type="http://schemas.openxmlformats.org/officeDocument/2006/relationships/control" Target="../activeX/activeX29.xml"/><Relationship Id="rId25" Type="http://schemas.openxmlformats.org/officeDocument/2006/relationships/control" Target="../activeX/activeX37.xml"/><Relationship Id="rId33" Type="http://schemas.openxmlformats.org/officeDocument/2006/relationships/control" Target="../activeX/activeX45.xml"/><Relationship Id="rId38" Type="http://schemas.openxmlformats.org/officeDocument/2006/relationships/control" Target="../activeX/activeX50.xml"/><Relationship Id="rId46" Type="http://schemas.openxmlformats.org/officeDocument/2006/relationships/control" Target="../activeX/activeX58.xml"/><Relationship Id="rId59" Type="http://schemas.openxmlformats.org/officeDocument/2006/relationships/control" Target="../activeX/activeX71.xml"/><Relationship Id="rId2" Type="http://schemas.openxmlformats.org/officeDocument/2006/relationships/vmlDrawing" Target="../drawings/vmlDrawing3.vml"/><Relationship Id="rId16" Type="http://schemas.openxmlformats.org/officeDocument/2006/relationships/control" Target="../activeX/activeX28.xml"/><Relationship Id="rId20" Type="http://schemas.openxmlformats.org/officeDocument/2006/relationships/control" Target="../activeX/activeX32.xml"/><Relationship Id="rId29" Type="http://schemas.openxmlformats.org/officeDocument/2006/relationships/control" Target="../activeX/activeX41.xml"/><Relationship Id="rId41" Type="http://schemas.openxmlformats.org/officeDocument/2006/relationships/control" Target="../activeX/activeX53.xml"/><Relationship Id="rId54" Type="http://schemas.openxmlformats.org/officeDocument/2006/relationships/control" Target="../activeX/activeX66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8.xml"/><Relationship Id="rId11" Type="http://schemas.openxmlformats.org/officeDocument/2006/relationships/control" Target="../activeX/activeX23.xml"/><Relationship Id="rId24" Type="http://schemas.openxmlformats.org/officeDocument/2006/relationships/control" Target="../activeX/activeX36.xml"/><Relationship Id="rId32" Type="http://schemas.openxmlformats.org/officeDocument/2006/relationships/control" Target="../activeX/activeX44.xml"/><Relationship Id="rId37" Type="http://schemas.openxmlformats.org/officeDocument/2006/relationships/control" Target="../activeX/activeX49.xml"/><Relationship Id="rId40" Type="http://schemas.openxmlformats.org/officeDocument/2006/relationships/control" Target="../activeX/activeX52.xml"/><Relationship Id="rId45" Type="http://schemas.openxmlformats.org/officeDocument/2006/relationships/control" Target="../activeX/activeX57.xml"/><Relationship Id="rId53" Type="http://schemas.openxmlformats.org/officeDocument/2006/relationships/control" Target="../activeX/activeX65.xml"/><Relationship Id="rId58" Type="http://schemas.openxmlformats.org/officeDocument/2006/relationships/control" Target="../activeX/activeX70.xml"/><Relationship Id="rId5" Type="http://schemas.openxmlformats.org/officeDocument/2006/relationships/control" Target="../activeX/activeX17.xml"/><Relationship Id="rId15" Type="http://schemas.openxmlformats.org/officeDocument/2006/relationships/control" Target="../activeX/activeX27.xml"/><Relationship Id="rId23" Type="http://schemas.openxmlformats.org/officeDocument/2006/relationships/control" Target="../activeX/activeX35.xml"/><Relationship Id="rId28" Type="http://schemas.openxmlformats.org/officeDocument/2006/relationships/control" Target="../activeX/activeX40.xml"/><Relationship Id="rId36" Type="http://schemas.openxmlformats.org/officeDocument/2006/relationships/control" Target="../activeX/activeX48.xml"/><Relationship Id="rId49" Type="http://schemas.openxmlformats.org/officeDocument/2006/relationships/control" Target="../activeX/activeX61.xml"/><Relationship Id="rId57" Type="http://schemas.openxmlformats.org/officeDocument/2006/relationships/control" Target="../activeX/activeX69.xml"/><Relationship Id="rId10" Type="http://schemas.openxmlformats.org/officeDocument/2006/relationships/control" Target="../activeX/activeX22.xml"/><Relationship Id="rId19" Type="http://schemas.openxmlformats.org/officeDocument/2006/relationships/control" Target="../activeX/activeX31.xml"/><Relationship Id="rId31" Type="http://schemas.openxmlformats.org/officeDocument/2006/relationships/control" Target="../activeX/activeX43.xml"/><Relationship Id="rId44" Type="http://schemas.openxmlformats.org/officeDocument/2006/relationships/control" Target="../activeX/activeX56.xml"/><Relationship Id="rId52" Type="http://schemas.openxmlformats.org/officeDocument/2006/relationships/control" Target="../activeX/activeX64.xml"/><Relationship Id="rId60" Type="http://schemas.openxmlformats.org/officeDocument/2006/relationships/control" Target="../activeX/activeX72.xml"/><Relationship Id="rId4" Type="http://schemas.openxmlformats.org/officeDocument/2006/relationships/control" Target="../activeX/activeX16.xml"/><Relationship Id="rId9" Type="http://schemas.openxmlformats.org/officeDocument/2006/relationships/control" Target="../activeX/activeX21.xml"/><Relationship Id="rId14" Type="http://schemas.openxmlformats.org/officeDocument/2006/relationships/control" Target="../activeX/activeX26.xml"/><Relationship Id="rId22" Type="http://schemas.openxmlformats.org/officeDocument/2006/relationships/control" Target="../activeX/activeX34.xml"/><Relationship Id="rId27" Type="http://schemas.openxmlformats.org/officeDocument/2006/relationships/control" Target="../activeX/activeX39.xml"/><Relationship Id="rId30" Type="http://schemas.openxmlformats.org/officeDocument/2006/relationships/control" Target="../activeX/activeX42.xml"/><Relationship Id="rId35" Type="http://schemas.openxmlformats.org/officeDocument/2006/relationships/control" Target="../activeX/activeX47.xml"/><Relationship Id="rId43" Type="http://schemas.openxmlformats.org/officeDocument/2006/relationships/control" Target="../activeX/activeX55.xml"/><Relationship Id="rId48" Type="http://schemas.openxmlformats.org/officeDocument/2006/relationships/control" Target="../activeX/activeX60.xml"/><Relationship Id="rId56" Type="http://schemas.openxmlformats.org/officeDocument/2006/relationships/control" Target="../activeX/activeX68.xml"/><Relationship Id="rId8" Type="http://schemas.openxmlformats.org/officeDocument/2006/relationships/control" Target="../activeX/activeX20.xml"/><Relationship Id="rId51" Type="http://schemas.openxmlformats.org/officeDocument/2006/relationships/control" Target="../activeX/activeX63.xml"/><Relationship Id="rId3" Type="http://schemas.openxmlformats.org/officeDocument/2006/relationships/control" Target="../activeX/activeX15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3.xml"/><Relationship Id="rId18" Type="http://schemas.openxmlformats.org/officeDocument/2006/relationships/control" Target="../activeX/activeX88.xml"/><Relationship Id="rId26" Type="http://schemas.openxmlformats.org/officeDocument/2006/relationships/control" Target="../activeX/activeX96.xml"/><Relationship Id="rId39" Type="http://schemas.openxmlformats.org/officeDocument/2006/relationships/control" Target="../activeX/activeX109.xml"/><Relationship Id="rId21" Type="http://schemas.openxmlformats.org/officeDocument/2006/relationships/control" Target="../activeX/activeX91.xml"/><Relationship Id="rId34" Type="http://schemas.openxmlformats.org/officeDocument/2006/relationships/control" Target="../activeX/activeX104.xml"/><Relationship Id="rId42" Type="http://schemas.openxmlformats.org/officeDocument/2006/relationships/control" Target="../activeX/activeX112.xml"/><Relationship Id="rId47" Type="http://schemas.openxmlformats.org/officeDocument/2006/relationships/control" Target="../activeX/activeX117.xml"/><Relationship Id="rId50" Type="http://schemas.openxmlformats.org/officeDocument/2006/relationships/control" Target="../activeX/activeX120.xml"/><Relationship Id="rId55" Type="http://schemas.openxmlformats.org/officeDocument/2006/relationships/control" Target="../activeX/activeX125.xml"/><Relationship Id="rId7" Type="http://schemas.openxmlformats.org/officeDocument/2006/relationships/control" Target="../activeX/activeX77.xml"/><Relationship Id="rId12" Type="http://schemas.openxmlformats.org/officeDocument/2006/relationships/control" Target="../activeX/activeX82.xml"/><Relationship Id="rId17" Type="http://schemas.openxmlformats.org/officeDocument/2006/relationships/control" Target="../activeX/activeX87.xml"/><Relationship Id="rId25" Type="http://schemas.openxmlformats.org/officeDocument/2006/relationships/control" Target="../activeX/activeX95.xml"/><Relationship Id="rId33" Type="http://schemas.openxmlformats.org/officeDocument/2006/relationships/control" Target="../activeX/activeX103.xml"/><Relationship Id="rId38" Type="http://schemas.openxmlformats.org/officeDocument/2006/relationships/control" Target="../activeX/activeX108.xml"/><Relationship Id="rId46" Type="http://schemas.openxmlformats.org/officeDocument/2006/relationships/control" Target="../activeX/activeX116.xml"/><Relationship Id="rId59" Type="http://schemas.openxmlformats.org/officeDocument/2006/relationships/control" Target="../activeX/activeX129.xml"/><Relationship Id="rId2" Type="http://schemas.openxmlformats.org/officeDocument/2006/relationships/vmlDrawing" Target="../drawings/vmlDrawing4.vml"/><Relationship Id="rId16" Type="http://schemas.openxmlformats.org/officeDocument/2006/relationships/control" Target="../activeX/activeX86.xml"/><Relationship Id="rId20" Type="http://schemas.openxmlformats.org/officeDocument/2006/relationships/control" Target="../activeX/activeX90.xml"/><Relationship Id="rId29" Type="http://schemas.openxmlformats.org/officeDocument/2006/relationships/control" Target="../activeX/activeX99.xml"/><Relationship Id="rId41" Type="http://schemas.openxmlformats.org/officeDocument/2006/relationships/control" Target="../activeX/activeX111.xml"/><Relationship Id="rId54" Type="http://schemas.openxmlformats.org/officeDocument/2006/relationships/control" Target="../activeX/activeX12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76.xml"/><Relationship Id="rId11" Type="http://schemas.openxmlformats.org/officeDocument/2006/relationships/control" Target="../activeX/activeX81.xml"/><Relationship Id="rId24" Type="http://schemas.openxmlformats.org/officeDocument/2006/relationships/control" Target="../activeX/activeX94.xml"/><Relationship Id="rId32" Type="http://schemas.openxmlformats.org/officeDocument/2006/relationships/control" Target="../activeX/activeX102.xml"/><Relationship Id="rId37" Type="http://schemas.openxmlformats.org/officeDocument/2006/relationships/control" Target="../activeX/activeX107.xml"/><Relationship Id="rId40" Type="http://schemas.openxmlformats.org/officeDocument/2006/relationships/control" Target="../activeX/activeX110.xml"/><Relationship Id="rId45" Type="http://schemas.openxmlformats.org/officeDocument/2006/relationships/control" Target="../activeX/activeX115.xml"/><Relationship Id="rId53" Type="http://schemas.openxmlformats.org/officeDocument/2006/relationships/control" Target="../activeX/activeX123.xml"/><Relationship Id="rId58" Type="http://schemas.openxmlformats.org/officeDocument/2006/relationships/control" Target="../activeX/activeX128.xml"/><Relationship Id="rId5" Type="http://schemas.openxmlformats.org/officeDocument/2006/relationships/control" Target="../activeX/activeX75.xml"/><Relationship Id="rId15" Type="http://schemas.openxmlformats.org/officeDocument/2006/relationships/control" Target="../activeX/activeX85.xml"/><Relationship Id="rId23" Type="http://schemas.openxmlformats.org/officeDocument/2006/relationships/control" Target="../activeX/activeX93.xml"/><Relationship Id="rId28" Type="http://schemas.openxmlformats.org/officeDocument/2006/relationships/control" Target="../activeX/activeX98.xml"/><Relationship Id="rId36" Type="http://schemas.openxmlformats.org/officeDocument/2006/relationships/control" Target="../activeX/activeX106.xml"/><Relationship Id="rId49" Type="http://schemas.openxmlformats.org/officeDocument/2006/relationships/control" Target="../activeX/activeX119.xml"/><Relationship Id="rId57" Type="http://schemas.openxmlformats.org/officeDocument/2006/relationships/control" Target="../activeX/activeX127.xml"/><Relationship Id="rId10" Type="http://schemas.openxmlformats.org/officeDocument/2006/relationships/control" Target="../activeX/activeX80.xml"/><Relationship Id="rId19" Type="http://schemas.openxmlformats.org/officeDocument/2006/relationships/control" Target="../activeX/activeX89.xml"/><Relationship Id="rId31" Type="http://schemas.openxmlformats.org/officeDocument/2006/relationships/control" Target="../activeX/activeX101.xml"/><Relationship Id="rId44" Type="http://schemas.openxmlformats.org/officeDocument/2006/relationships/control" Target="../activeX/activeX114.xml"/><Relationship Id="rId52" Type="http://schemas.openxmlformats.org/officeDocument/2006/relationships/control" Target="../activeX/activeX122.xml"/><Relationship Id="rId60" Type="http://schemas.openxmlformats.org/officeDocument/2006/relationships/control" Target="../activeX/activeX130.xml"/><Relationship Id="rId4" Type="http://schemas.openxmlformats.org/officeDocument/2006/relationships/control" Target="../activeX/activeX74.xml"/><Relationship Id="rId9" Type="http://schemas.openxmlformats.org/officeDocument/2006/relationships/control" Target="../activeX/activeX79.xml"/><Relationship Id="rId14" Type="http://schemas.openxmlformats.org/officeDocument/2006/relationships/control" Target="../activeX/activeX84.xml"/><Relationship Id="rId22" Type="http://schemas.openxmlformats.org/officeDocument/2006/relationships/control" Target="../activeX/activeX92.xml"/><Relationship Id="rId27" Type="http://schemas.openxmlformats.org/officeDocument/2006/relationships/control" Target="../activeX/activeX97.xml"/><Relationship Id="rId30" Type="http://schemas.openxmlformats.org/officeDocument/2006/relationships/control" Target="../activeX/activeX100.xml"/><Relationship Id="rId35" Type="http://schemas.openxmlformats.org/officeDocument/2006/relationships/control" Target="../activeX/activeX105.xml"/><Relationship Id="rId43" Type="http://schemas.openxmlformats.org/officeDocument/2006/relationships/control" Target="../activeX/activeX113.xml"/><Relationship Id="rId48" Type="http://schemas.openxmlformats.org/officeDocument/2006/relationships/control" Target="../activeX/activeX118.xml"/><Relationship Id="rId56" Type="http://schemas.openxmlformats.org/officeDocument/2006/relationships/control" Target="../activeX/activeX126.xml"/><Relationship Id="rId8" Type="http://schemas.openxmlformats.org/officeDocument/2006/relationships/control" Target="../activeX/activeX78.xml"/><Relationship Id="rId51" Type="http://schemas.openxmlformats.org/officeDocument/2006/relationships/control" Target="../activeX/activeX121.xml"/><Relationship Id="rId3" Type="http://schemas.openxmlformats.org/officeDocument/2006/relationships/control" Target="../activeX/activeX73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outlinePr summaryBelow="0"/>
    <pageSetUpPr fitToPage="1"/>
  </sheetPr>
  <dimension ref="B1:AV110"/>
  <sheetViews>
    <sheetView tabSelected="1" view="pageBreakPreview" zoomScaleNormal="100" zoomScaleSheetLayoutView="100" workbookViewId="0">
      <selection activeCell="G16" sqref="G16"/>
    </sheetView>
  </sheetViews>
  <sheetFormatPr defaultColWidth="9.140625" defaultRowHeight="15"/>
  <cols>
    <col min="1" max="1" width="1.7109375" style="2" customWidth="1"/>
    <col min="2" max="2" width="123.42578125" style="14" customWidth="1"/>
    <col min="3" max="3" width="27.5703125" style="2" hidden="1" customWidth="1"/>
    <col min="4" max="4" width="24.85546875" style="2" hidden="1" customWidth="1"/>
    <col min="5" max="5" width="26.140625" style="2" customWidth="1"/>
    <col min="6" max="6" width="23.140625" style="2" customWidth="1"/>
    <col min="7" max="7" width="21.5703125" style="2" customWidth="1"/>
    <col min="8" max="8" width="16.28515625" style="2" customWidth="1"/>
    <col min="9" max="10" width="17.140625" style="2" hidden="1" customWidth="1"/>
    <col min="11" max="18" width="9.140625" style="2" hidden="1" customWidth="1"/>
    <col min="19" max="19" width="3.28515625" style="2" hidden="1" customWidth="1"/>
    <col min="20" max="25" width="9.140625" style="2" hidden="1" customWidth="1"/>
    <col min="26" max="26" width="0.7109375" style="2" hidden="1" customWidth="1"/>
    <col min="27" max="27" width="20.7109375" style="2" hidden="1" customWidth="1"/>
    <col min="28" max="28" width="24" style="2" hidden="1" customWidth="1"/>
    <col min="29" max="30" width="9.140625" style="2" hidden="1" customWidth="1"/>
    <col min="31" max="31" width="13.28515625" style="2" hidden="1" customWidth="1"/>
    <col min="32" max="34" width="9.140625" style="2" customWidth="1"/>
    <col min="35" max="16384" width="9.140625" style="2"/>
  </cols>
  <sheetData>
    <row r="1" spans="2:18" ht="20.25" customHeight="1">
      <c r="B1" s="544" t="s">
        <v>461</v>
      </c>
      <c r="C1" s="544"/>
      <c r="D1" s="544"/>
      <c r="E1" s="544"/>
      <c r="F1" s="544"/>
      <c r="G1" s="544"/>
      <c r="H1" s="544"/>
      <c r="I1" s="68"/>
    </row>
    <row r="2" spans="2:18" ht="20.25" customHeight="1">
      <c r="B2" s="544" t="s">
        <v>20</v>
      </c>
      <c r="C2" s="544"/>
      <c r="D2" s="544"/>
      <c r="E2" s="544"/>
      <c r="F2" s="544"/>
      <c r="G2" s="544"/>
      <c r="H2" s="544"/>
      <c r="I2" s="68"/>
    </row>
    <row r="3" spans="2:18" ht="23.25">
      <c r="B3" s="192" t="s">
        <v>21</v>
      </c>
      <c r="C3" s="193"/>
      <c r="D3" s="194"/>
      <c r="E3" s="542"/>
      <c r="F3" s="542"/>
      <c r="G3" s="69"/>
      <c r="H3" s="8"/>
      <c r="I3" s="9"/>
    </row>
    <row r="4" spans="2:18" ht="21" thickBot="1">
      <c r="B4" s="10"/>
      <c r="C4" s="11"/>
      <c r="D4" s="11"/>
      <c r="E4" s="11"/>
      <c r="F4" s="11"/>
      <c r="G4" s="11"/>
      <c r="H4" s="11"/>
    </row>
    <row r="5" spans="2:18" s="191" customFormat="1" ht="33" customHeight="1">
      <c r="B5" s="518" t="s">
        <v>464</v>
      </c>
      <c r="C5" s="519"/>
      <c r="D5" s="519"/>
      <c r="E5" s="519"/>
      <c r="F5" s="520"/>
      <c r="G5" s="354"/>
      <c r="H5" s="354"/>
    </row>
    <row r="6" spans="2:18" s="191" customFormat="1" ht="39.75" customHeight="1">
      <c r="B6" s="521" t="s">
        <v>465</v>
      </c>
      <c r="C6" s="522"/>
      <c r="D6" s="522"/>
      <c r="E6" s="522"/>
      <c r="F6" s="523"/>
      <c r="G6" s="355"/>
      <c r="H6" s="355"/>
    </row>
    <row r="7" spans="2:18" ht="26.25" customHeight="1">
      <c r="B7" s="339" t="s">
        <v>22</v>
      </c>
      <c r="C7" s="340"/>
      <c r="D7" s="341"/>
      <c r="E7" s="258" t="s">
        <v>428</v>
      </c>
      <c r="F7" s="278" t="s">
        <v>421</v>
      </c>
      <c r="G7" s="1"/>
      <c r="H7" s="1"/>
      <c r="J7" s="96"/>
      <c r="K7" s="96"/>
      <c r="L7" s="96" t="s">
        <v>50</v>
      </c>
      <c r="M7" s="96">
        <v>3</v>
      </c>
      <c r="N7" s="103">
        <v>0.4</v>
      </c>
      <c r="O7" s="96">
        <f>IF(E11&lt;3,2,1)</f>
        <v>1</v>
      </c>
      <c r="P7" s="96"/>
      <c r="Q7" s="96"/>
      <c r="R7" s="96"/>
    </row>
    <row r="8" spans="2:18" ht="24.75" customHeight="1">
      <c r="B8" s="339" t="s">
        <v>51</v>
      </c>
      <c r="C8" s="342"/>
      <c r="D8" s="343"/>
      <c r="E8" s="258" t="s">
        <v>53</v>
      </c>
      <c r="F8" s="259"/>
      <c r="G8" s="1"/>
      <c r="H8" s="1"/>
      <c r="J8" s="96"/>
      <c r="K8" s="96"/>
      <c r="L8" s="96" t="s">
        <v>53</v>
      </c>
      <c r="M8" s="96">
        <v>2</v>
      </c>
      <c r="N8" s="103">
        <v>6</v>
      </c>
      <c r="O8" s="96"/>
      <c r="P8" s="96"/>
      <c r="Q8" s="96"/>
      <c r="R8" s="96"/>
    </row>
    <row r="9" spans="2:18" ht="22.5" customHeight="1">
      <c r="B9" s="339" t="s">
        <v>66</v>
      </c>
      <c r="C9" s="344"/>
      <c r="D9" s="345"/>
      <c r="E9" s="138">
        <v>0</v>
      </c>
      <c r="F9" s="260" t="s">
        <v>422</v>
      </c>
      <c r="G9" s="1"/>
      <c r="H9" s="1"/>
      <c r="J9" s="96"/>
      <c r="K9" s="96"/>
      <c r="L9" s="96"/>
      <c r="M9" s="96">
        <v>1</v>
      </c>
      <c r="N9" s="103">
        <v>10</v>
      </c>
      <c r="O9" s="96"/>
      <c r="P9" s="96"/>
      <c r="Q9" s="96"/>
      <c r="R9" s="96"/>
    </row>
    <row r="10" spans="2:18" ht="23.25" customHeight="1">
      <c r="B10" s="339" t="str">
        <f>IF(E10&lt;E9,"Объем максимальной мощности не может быть меньше объема  присоединяемой мощности! Расчет неверен!","Объем максимальной мощности, кВт")</f>
        <v>Объем максимальной мощности, кВт</v>
      </c>
      <c r="C10" s="342"/>
      <c r="D10" s="343"/>
      <c r="E10" s="138">
        <v>0</v>
      </c>
      <c r="F10" s="260" t="s">
        <v>423</v>
      </c>
      <c r="G10" s="77"/>
      <c r="H10" s="77"/>
      <c r="I10" s="77"/>
      <c r="J10" s="97"/>
      <c r="K10" s="96"/>
      <c r="L10" s="96"/>
      <c r="M10" s="96"/>
      <c r="N10" s="96"/>
      <c r="O10" s="96"/>
      <c r="P10" s="96"/>
      <c r="Q10" s="96"/>
      <c r="R10" s="96"/>
    </row>
    <row r="11" spans="2:18" ht="22.5" customHeight="1">
      <c r="B11" s="339" t="s">
        <v>63</v>
      </c>
      <c r="C11" s="342"/>
      <c r="D11" s="343"/>
      <c r="E11" s="258" t="s">
        <v>390</v>
      </c>
      <c r="F11" s="259"/>
      <c r="G11" s="77"/>
      <c r="H11" s="77"/>
      <c r="I11" s="77"/>
      <c r="J11" s="97"/>
      <c r="K11" s="96"/>
      <c r="L11" s="96"/>
      <c r="M11" s="96"/>
      <c r="N11" s="96"/>
      <c r="O11" s="96"/>
      <c r="P11" s="96"/>
      <c r="Q11" s="96"/>
      <c r="R11" s="96"/>
    </row>
    <row r="12" spans="2:18" ht="19.5" customHeight="1">
      <c r="B12" s="346" t="s">
        <v>18</v>
      </c>
      <c r="C12" s="347"/>
      <c r="D12" s="348"/>
      <c r="E12" s="370"/>
      <c r="F12" s="261"/>
      <c r="G12" s="77"/>
      <c r="H12" s="77"/>
      <c r="I12" s="77"/>
      <c r="J12" s="97"/>
      <c r="K12" s="96"/>
      <c r="L12" s="96"/>
      <c r="M12" s="96"/>
      <c r="N12" s="96"/>
      <c r="O12" s="96"/>
      <c r="P12" s="96"/>
      <c r="Q12" s="96"/>
      <c r="R12" s="96"/>
    </row>
    <row r="13" spans="2:18" ht="27" customHeight="1">
      <c r="B13" s="339" t="s">
        <v>46</v>
      </c>
      <c r="C13" s="342"/>
      <c r="D13" s="343"/>
      <c r="E13" s="258" t="s">
        <v>50</v>
      </c>
      <c r="F13" s="151" t="s">
        <v>417</v>
      </c>
      <c r="G13" s="77"/>
      <c r="H13" s="1"/>
      <c r="I13" s="104" t="s">
        <v>52</v>
      </c>
      <c r="J13" s="96"/>
      <c r="K13" s="98">
        <v>709.27</v>
      </c>
      <c r="L13" s="98">
        <v>191</v>
      </c>
      <c r="M13" s="98">
        <v>53.23</v>
      </c>
      <c r="N13" s="99"/>
      <c r="O13" s="96"/>
      <c r="P13" s="98">
        <v>219.22</v>
      </c>
      <c r="Q13" s="96"/>
      <c r="R13" s="96"/>
    </row>
    <row r="14" spans="2:18" ht="24" customHeight="1">
      <c r="B14" s="339" t="s">
        <v>47</v>
      </c>
      <c r="C14" s="342"/>
      <c r="D14" s="343"/>
      <c r="E14" s="258" t="s">
        <v>50</v>
      </c>
      <c r="F14" s="151" t="s">
        <v>418</v>
      </c>
      <c r="G14" s="77"/>
      <c r="H14" s="1"/>
      <c r="J14" s="96"/>
      <c r="K14" s="98">
        <v>182.07</v>
      </c>
      <c r="L14" s="98">
        <v>42.88</v>
      </c>
      <c r="M14" s="98">
        <v>13.09</v>
      </c>
      <c r="N14" s="99"/>
      <c r="O14" s="96"/>
      <c r="P14" s="98">
        <v>108.88</v>
      </c>
      <c r="Q14" s="96"/>
      <c r="R14" s="96"/>
    </row>
    <row r="15" spans="2:18" ht="42" customHeight="1">
      <c r="B15" s="339" t="s">
        <v>48</v>
      </c>
      <c r="C15" s="342"/>
      <c r="D15" s="343"/>
      <c r="E15" s="258" t="s">
        <v>53</v>
      </c>
      <c r="F15" s="151" t="s">
        <v>419</v>
      </c>
      <c r="G15" s="77"/>
      <c r="H15" s="1"/>
      <c r="J15" s="96"/>
      <c r="K15" s="98">
        <v>0</v>
      </c>
      <c r="L15" s="98">
        <v>29.94</v>
      </c>
      <c r="M15" s="98">
        <v>7.39</v>
      </c>
      <c r="N15" s="99"/>
      <c r="O15" s="96"/>
      <c r="P15" s="98">
        <v>0</v>
      </c>
      <c r="Q15" s="96"/>
      <c r="R15" s="96"/>
    </row>
    <row r="16" spans="2:18" ht="26.25" customHeight="1" thickBot="1">
      <c r="B16" s="524" t="s">
        <v>49</v>
      </c>
      <c r="C16" s="525"/>
      <c r="D16" s="526"/>
      <c r="E16" s="276" t="s">
        <v>50</v>
      </c>
      <c r="F16" s="277" t="s">
        <v>420</v>
      </c>
      <c r="G16" s="77"/>
      <c r="H16" s="1"/>
      <c r="J16" s="96"/>
      <c r="K16" s="98">
        <v>313.66000000000003</v>
      </c>
      <c r="L16" s="98">
        <v>499.18</v>
      </c>
      <c r="M16" s="98">
        <v>436.29</v>
      </c>
      <c r="N16" s="99"/>
      <c r="O16" s="96"/>
      <c r="P16" s="98">
        <v>54.9</v>
      </c>
      <c r="Q16" s="96"/>
      <c r="R16" s="96"/>
    </row>
    <row r="17" spans="2:48" ht="64.5" customHeight="1">
      <c r="B17" s="349" t="s">
        <v>397</v>
      </c>
      <c r="C17" s="350"/>
      <c r="D17" s="350"/>
      <c r="E17" s="371" t="s">
        <v>395</v>
      </c>
      <c r="F17" s="372" t="s">
        <v>396</v>
      </c>
      <c r="G17" s="77"/>
      <c r="H17" s="1"/>
      <c r="J17" s="96"/>
      <c r="K17" s="149"/>
      <c r="L17" s="149"/>
      <c r="M17" s="149"/>
      <c r="N17" s="150"/>
      <c r="O17" s="96"/>
      <c r="P17" s="149"/>
      <c r="Q17" s="96"/>
      <c r="R17" s="96"/>
    </row>
    <row r="18" spans="2:48" ht="42" customHeight="1">
      <c r="B18" s="351" t="str">
        <f t="array" ref="B18:B44">INDEX(Товары,SMALL(IF((0&lt;Цены),ROW(Цены),""),ROW(Цены)-ROW('Данные для расчета'!H10))-ROW('Данные для расчета'!H10))</f>
        <v>Строительство воздушных линий</v>
      </c>
      <c r="C18" s="274"/>
      <c r="D18" s="352"/>
      <c r="E18" s="274" t="str">
        <f t="array" ref="E18:E44">INDEX(ЦенаВывод,SMALL(IF((0&lt;Цены),ROW(Цены),""),ROW(Цены)-ROW('Данные для расчета'!L10))-ROW('Данные для расчета'!L10))</f>
        <v>нет</v>
      </c>
      <c r="F18" s="170" t="str">
        <f t="array" ref="F18:F44">INDEX(Тарифы2,SMALL(IF((0&lt;Цены),ROW(Цены),""),ROW(Цены)-ROW('Данные для расчета'!R10))-ROW('Данные для расчета'!R10))</f>
        <v xml:space="preserve"> </v>
      </c>
      <c r="G18" s="77"/>
      <c r="J18" s="96"/>
      <c r="K18" s="96"/>
      <c r="L18" s="96"/>
      <c r="M18" s="100"/>
      <c r="N18" s="100"/>
      <c r="O18" s="100"/>
      <c r="P18" s="100"/>
      <c r="Q18" s="100"/>
      <c r="R18" s="100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2:48" s="85" customFormat="1" ht="42" customHeight="1">
      <c r="B19" s="351" t="str">
        <v>Строительство кабельных линий</v>
      </c>
      <c r="C19" s="274"/>
      <c r="D19" s="274"/>
      <c r="E19" s="274" t="str">
        <v>нет</v>
      </c>
      <c r="F19" s="171" t="str">
        <v xml:space="preserve"> </v>
      </c>
      <c r="G19" s="122"/>
      <c r="J19" s="101"/>
      <c r="K19" s="101"/>
      <c r="L19" s="101"/>
      <c r="M19" s="102"/>
      <c r="N19" s="102"/>
      <c r="O19" s="102"/>
      <c r="P19" s="102"/>
      <c r="Q19" s="102"/>
      <c r="R19" s="102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</row>
    <row r="20" spans="2:48" s="85" customFormat="1" ht="42" customHeight="1">
      <c r="B20" s="351" t="str">
        <v>Строительство подстанций</v>
      </c>
      <c r="C20" s="274"/>
      <c r="D20" s="274"/>
      <c r="E20" s="274" t="str">
        <v>нет</v>
      </c>
      <c r="F20" s="171" t="str">
        <v xml:space="preserve">  </v>
      </c>
      <c r="J20" s="101"/>
      <c r="K20" s="101"/>
      <c r="L20" s="101"/>
      <c r="M20" s="101"/>
      <c r="N20" s="101"/>
      <c r="O20" s="101"/>
      <c r="P20" s="101"/>
      <c r="Q20" s="101"/>
      <c r="R20" s="101"/>
    </row>
    <row r="21" spans="2:48" s="85" customFormat="1" ht="42" customHeight="1">
      <c r="B21" s="351" t="str">
        <v>Строительство распределительных пунктов</v>
      </c>
      <c r="C21" s="274"/>
      <c r="D21" s="274"/>
      <c r="E21" s="274" t="str">
        <v>нет</v>
      </c>
      <c r="F21" s="171" t="str">
        <v xml:space="preserve"> </v>
      </c>
      <c r="AB21" s="119"/>
      <c r="AC21" s="119"/>
      <c r="AD21" s="119"/>
      <c r="AE21" s="119"/>
      <c r="AF21" s="119"/>
      <c r="AG21" s="119"/>
      <c r="AH21" s="119"/>
      <c r="AI21" s="119"/>
    </row>
    <row r="22" spans="2:48" s="85" customFormat="1" ht="42" customHeight="1">
      <c r="B22" s="351" t="str">
        <v>Строительство пунктов секционирования</v>
      </c>
      <c r="C22" s="274"/>
      <c r="D22" s="274"/>
      <c r="E22" s="274" t="str">
        <v>нет</v>
      </c>
      <c r="F22" s="171" t="str">
        <v xml:space="preserve"> </v>
      </c>
    </row>
    <row r="23" spans="2:48" s="85" customFormat="1" ht="42" customHeight="1">
      <c r="B23" s="351" t="e">
        <v>#NUM!</v>
      </c>
      <c r="C23" s="274"/>
      <c r="D23" s="274"/>
      <c r="E23" s="274" t="e">
        <v>#NUM!</v>
      </c>
      <c r="F23" s="171" t="e">
        <v>#NUM!</v>
      </c>
    </row>
    <row r="24" spans="2:48" s="85" customFormat="1" ht="42" hidden="1" customHeight="1">
      <c r="B24" s="351" t="e">
        <v>#NUM!</v>
      </c>
      <c r="C24" s="274"/>
      <c r="D24" s="274"/>
      <c r="E24" s="274" t="e">
        <v>#NUM!</v>
      </c>
      <c r="F24" s="171" t="e">
        <v>#NUM!</v>
      </c>
    </row>
    <row r="25" spans="2:48" s="85" customFormat="1" ht="42" hidden="1" customHeight="1">
      <c r="B25" s="351" t="e">
        <v>#NUM!</v>
      </c>
      <c r="C25" s="274"/>
      <c r="D25" s="274"/>
      <c r="E25" s="274" t="e">
        <v>#NUM!</v>
      </c>
      <c r="F25" s="171" t="e">
        <v>#NUM!</v>
      </c>
    </row>
    <row r="26" spans="2:48" s="85" customFormat="1" ht="42" hidden="1" customHeight="1">
      <c r="B26" s="351" t="e">
        <v>#NUM!</v>
      </c>
      <c r="C26" s="274"/>
      <c r="D26" s="274"/>
      <c r="E26" s="274" t="e">
        <v>#NUM!</v>
      </c>
      <c r="F26" s="171" t="e">
        <v>#NUM!</v>
      </c>
    </row>
    <row r="27" spans="2:48" s="85" customFormat="1" ht="42" hidden="1" customHeight="1">
      <c r="B27" s="351" t="e">
        <v>#NUM!</v>
      </c>
      <c r="C27" s="274"/>
      <c r="D27" s="274"/>
      <c r="E27" s="274" t="e">
        <v>#NUM!</v>
      </c>
      <c r="F27" s="171" t="e">
        <v>#NUM!</v>
      </c>
      <c r="AB27" s="85">
        <f>ROUND(,2)</f>
        <v>0</v>
      </c>
    </row>
    <row r="28" spans="2:48" s="85" customFormat="1" ht="42" hidden="1" customHeight="1">
      <c r="B28" s="351" t="e">
        <v>#NUM!</v>
      </c>
      <c r="C28" s="274"/>
      <c r="D28" s="274"/>
      <c r="E28" s="274" t="e">
        <v>#NUM!</v>
      </c>
      <c r="F28" s="171" t="e">
        <v>#NUM!</v>
      </c>
    </row>
    <row r="29" spans="2:48" s="85" customFormat="1" ht="42" hidden="1" customHeight="1">
      <c r="B29" s="351" t="e">
        <v>#NUM!</v>
      </c>
      <c r="C29" s="274"/>
      <c r="D29" s="274"/>
      <c r="E29" s="274" t="e">
        <v>#NUM!</v>
      </c>
      <c r="F29" s="171" t="e">
        <v>#NUM!</v>
      </c>
    </row>
    <row r="30" spans="2:48" s="85" customFormat="1" ht="42" hidden="1" customHeight="1">
      <c r="B30" s="351" t="e">
        <v>#NUM!</v>
      </c>
      <c r="C30" s="274"/>
      <c r="D30" s="274"/>
      <c r="E30" s="274" t="e">
        <v>#NUM!</v>
      </c>
      <c r="F30" s="171" t="e">
        <v>#NUM!</v>
      </c>
    </row>
    <row r="31" spans="2:48" s="85" customFormat="1" ht="42" hidden="1" customHeight="1">
      <c r="B31" s="351" t="e">
        <v>#NUM!</v>
      </c>
      <c r="C31" s="274"/>
      <c r="D31" s="274"/>
      <c r="E31" s="274" t="e">
        <v>#NUM!</v>
      </c>
      <c r="F31" s="171" t="e">
        <v>#NUM!</v>
      </c>
    </row>
    <row r="32" spans="2:48" s="85" customFormat="1" ht="42" hidden="1" customHeight="1" thickBot="1">
      <c r="B32" s="353" t="e">
        <v>#NUM!</v>
      </c>
      <c r="C32" s="275"/>
      <c r="D32" s="275"/>
      <c r="E32" s="275" t="e">
        <v>#NUM!</v>
      </c>
      <c r="F32" s="172" t="e">
        <v>#NUM!</v>
      </c>
    </row>
    <row r="33" spans="2:8" s="85" customFormat="1" ht="35.1" hidden="1" customHeight="1">
      <c r="B33" s="123" t="e">
        <v>#NUM!</v>
      </c>
      <c r="C33" s="124"/>
      <c r="D33" s="124"/>
      <c r="E33" s="125" t="e">
        <v>#NUM!</v>
      </c>
      <c r="F33" s="126" t="e">
        <v>#NUM!</v>
      </c>
    </row>
    <row r="34" spans="2:8" s="85" customFormat="1" ht="35.1" hidden="1" customHeight="1">
      <c r="B34" s="82" t="e">
        <v>#NUM!</v>
      </c>
      <c r="C34" s="88"/>
      <c r="D34" s="88"/>
      <c r="E34" s="70" t="e">
        <v>#NUM!</v>
      </c>
      <c r="F34" s="95" t="e">
        <v>#NUM!</v>
      </c>
    </row>
    <row r="35" spans="2:8" s="85" customFormat="1" ht="35.1" hidden="1" customHeight="1">
      <c r="B35" s="82" t="e">
        <v>#NUM!</v>
      </c>
      <c r="C35" s="88"/>
      <c r="D35" s="88"/>
      <c r="E35" s="70" t="e">
        <v>#NUM!</v>
      </c>
      <c r="F35" s="95" t="e">
        <v>#NUM!</v>
      </c>
    </row>
    <row r="36" spans="2:8" s="85" customFormat="1" ht="35.1" hidden="1" customHeight="1">
      <c r="B36" s="82" t="e">
        <v>#NUM!</v>
      </c>
      <c r="C36" s="88"/>
      <c r="D36" s="88"/>
      <c r="E36" s="70" t="e">
        <v>#NUM!</v>
      </c>
      <c r="F36" s="95" t="e">
        <v>#NUM!</v>
      </c>
    </row>
    <row r="37" spans="2:8" s="85" customFormat="1" ht="35.1" hidden="1" customHeight="1">
      <c r="B37" s="82" t="e">
        <v>#NUM!</v>
      </c>
      <c r="C37" s="88"/>
      <c r="D37" s="88"/>
      <c r="E37" s="70" t="e">
        <v>#NUM!</v>
      </c>
      <c r="F37" s="95" t="e">
        <v>#NUM!</v>
      </c>
    </row>
    <row r="38" spans="2:8" s="85" customFormat="1" ht="35.1" hidden="1" customHeight="1">
      <c r="B38" s="82" t="e">
        <v>#NUM!</v>
      </c>
      <c r="C38" s="88"/>
      <c r="D38" s="88"/>
      <c r="E38" s="70" t="e">
        <v>#NUM!</v>
      </c>
      <c r="F38" s="95" t="e">
        <v>#NUM!</v>
      </c>
    </row>
    <row r="39" spans="2:8" s="85" customFormat="1" ht="35.1" hidden="1" customHeight="1">
      <c r="B39" s="82" t="e">
        <v>#NUM!</v>
      </c>
      <c r="C39" s="88"/>
      <c r="D39" s="88"/>
      <c r="E39" s="70" t="e">
        <v>#NUM!</v>
      </c>
      <c r="F39" s="95" t="e">
        <v>#NUM!</v>
      </c>
    </row>
    <row r="40" spans="2:8" s="85" customFormat="1" ht="35.1" hidden="1" customHeight="1">
      <c r="B40" s="82" t="e">
        <v>#NUM!</v>
      </c>
      <c r="C40" s="88"/>
      <c r="D40" s="88"/>
      <c r="E40" s="70" t="e">
        <v>#NUM!</v>
      </c>
      <c r="F40" s="95" t="e">
        <v>#NUM!</v>
      </c>
    </row>
    <row r="41" spans="2:8" s="85" customFormat="1" ht="35.1" hidden="1" customHeight="1">
      <c r="B41" s="82" t="e">
        <v>#NUM!</v>
      </c>
      <c r="C41" s="88"/>
      <c r="D41" s="88"/>
      <c r="E41" s="70" t="e">
        <v>#NUM!</v>
      </c>
      <c r="F41" s="95" t="e">
        <v>#NUM!</v>
      </c>
    </row>
    <row r="42" spans="2:8" s="85" customFormat="1" ht="35.1" hidden="1" customHeight="1">
      <c r="B42" s="82" t="e">
        <v>#NUM!</v>
      </c>
      <c r="C42" s="88"/>
      <c r="D42" s="88"/>
      <c r="E42" s="70" t="e">
        <v>#NUM!</v>
      </c>
      <c r="F42" s="95" t="e">
        <v>#NUM!</v>
      </c>
    </row>
    <row r="43" spans="2:8" s="85" customFormat="1" ht="35.1" hidden="1" customHeight="1">
      <c r="B43" s="82" t="e">
        <v>#NUM!</v>
      </c>
      <c r="C43" s="88"/>
      <c r="D43" s="88"/>
      <c r="E43" s="70" t="e">
        <v>#NUM!</v>
      </c>
      <c r="F43" s="95" t="e">
        <v>#NUM!</v>
      </c>
    </row>
    <row r="44" spans="2:8" s="85" customFormat="1" ht="35.1" hidden="1" customHeight="1">
      <c r="B44" s="82" t="e">
        <v>#NUM!</v>
      </c>
      <c r="C44" s="88"/>
      <c r="D44" s="88"/>
      <c r="E44" s="70" t="e">
        <v>#NUM!</v>
      </c>
      <c r="F44" s="95" t="e">
        <v>#NUM!</v>
      </c>
    </row>
    <row r="45" spans="2:8" hidden="1">
      <c r="B45" s="48"/>
      <c r="C45" s="48"/>
      <c r="D45" s="48"/>
      <c r="E45" s="48"/>
    </row>
    <row r="46" spans="2:8" ht="34.5" customHeight="1">
      <c r="B46" s="262" t="s">
        <v>19</v>
      </c>
      <c r="C46" s="15"/>
      <c r="D46" s="15"/>
      <c r="E46" s="15"/>
      <c r="F46" s="15"/>
      <c r="G46" s="15"/>
      <c r="H46" s="15"/>
    </row>
    <row r="47" spans="2:8" ht="24" customHeight="1" thickBot="1">
      <c r="B47" s="263" t="s">
        <v>416</v>
      </c>
      <c r="C47" s="160"/>
      <c r="D47" s="160"/>
      <c r="E47" s="160"/>
      <c r="F47" s="160"/>
      <c r="G47" s="160"/>
      <c r="H47" s="160"/>
    </row>
    <row r="48" spans="2:8" ht="11.25" hidden="1" customHeight="1">
      <c r="B48" s="140"/>
      <c r="C48" s="141"/>
      <c r="D48" s="141"/>
      <c r="E48" s="141"/>
      <c r="F48" s="141"/>
      <c r="G48" s="141"/>
      <c r="H48" s="141"/>
    </row>
    <row r="49" spans="2:13" ht="11.25" hidden="1" customHeight="1" thickBot="1">
      <c r="B49" s="140"/>
      <c r="C49" s="141"/>
      <c r="D49" s="141"/>
      <c r="E49" s="141"/>
      <c r="F49" s="141"/>
      <c r="G49" s="141"/>
      <c r="H49" s="141"/>
    </row>
    <row r="50" spans="2:13" ht="31.5" customHeight="1" thickBot="1">
      <c r="B50" s="144" t="s">
        <v>340</v>
      </c>
      <c r="E50" s="273">
        <f>ROUND((E9*E65)+(VALUE('Данные для расчета'!T2)*VALUE(Калькулятор!E82))+(VALUE('Данные для расчета'!T4)*VALUE(Калькулятор!F82))+(VALUE('Данные для расчета'!T10)*VALUE(Калькулятор!H82))+(VALUE('Данные для расчета'!T12)*VALUE(Калькулятор!H82))+(VALUE('Данные для расчета'!T14)*VALUE(Калькулятор!H82))+(VALUE('Данные для расчета'!T6)*VALUE(G82))+IF(VALUE('Данные для расчета'!T4)&gt;0,VALUE('Данные для расчета'!T8)*VALUE(F82),IF(VALUE('Данные для расчета'!T6)&gt;0,VALUE('Данные для расчета'!T8*VALUE(Калькулятор!G82)),VALUE('Данные для расчета'!T8)*VALUE(F82))),2)</f>
        <v>0</v>
      </c>
      <c r="F50" s="145" t="s">
        <v>393</v>
      </c>
      <c r="G50" s="273">
        <f>E50*18%</f>
        <v>0</v>
      </c>
      <c r="H50" s="146"/>
      <c r="I50" s="106">
        <f>E50+G50</f>
        <v>0</v>
      </c>
      <c r="J50" s="142"/>
    </row>
    <row r="51" spans="2:13" ht="15" customHeight="1" thickBot="1">
      <c r="B51" s="148"/>
      <c r="C51" s="146"/>
      <c r="D51" s="146"/>
      <c r="E51" s="146"/>
      <c r="F51" s="146"/>
      <c r="G51" s="17"/>
      <c r="H51" s="142"/>
    </row>
    <row r="52" spans="2:13" ht="29.25" customHeight="1" thickBot="1">
      <c r="B52" s="144" t="s">
        <v>341</v>
      </c>
      <c r="E52" s="273">
        <f>E50+G50</f>
        <v>0</v>
      </c>
      <c r="F52" s="161" t="s">
        <v>17</v>
      </c>
      <c r="G52" s="147"/>
      <c r="H52" s="146"/>
      <c r="I52" s="17"/>
      <c r="J52" s="142"/>
    </row>
    <row r="53" spans="2:13" ht="20.25" hidden="1" customHeight="1" thickBot="1">
      <c r="B53" s="16" t="s">
        <v>25</v>
      </c>
      <c r="C53" s="71" t="e">
        <f>ROUND(E9*E80+D94*(D89*#REF!+D93*#REF!)+E94*(E89*#REF!+E93*#REF!)+F94*(F89*#REF!+F93*#REF!)+G94*(G89*#REF!+G93*#REF!)+H94*(H93+H89)*E9*O7+I94*(I93+I89)*E9+J94*(J93+J89)*E9,2)</f>
        <v>#REF!</v>
      </c>
      <c r="D53" s="17" t="s">
        <v>24</v>
      </c>
      <c r="E53" s="71" t="e">
        <f>C53*18%</f>
        <v>#REF!</v>
      </c>
      <c r="F53" s="17" t="s">
        <v>23</v>
      </c>
      <c r="G53" s="71" t="e">
        <f>C53+E53</f>
        <v>#REF!</v>
      </c>
      <c r="H53" s="142" t="s">
        <v>17</v>
      </c>
    </row>
    <row r="54" spans="2:13" ht="10.5" hidden="1" customHeight="1">
      <c r="B54" s="143"/>
      <c r="C54" s="142"/>
      <c r="D54" s="142"/>
      <c r="E54" s="142"/>
      <c r="F54" s="142"/>
      <c r="G54" s="142"/>
      <c r="H54" s="142"/>
    </row>
    <row r="55" spans="2:13" ht="18.75" customHeight="1">
      <c r="B55" s="536"/>
      <c r="C55" s="536"/>
      <c r="D55" s="536"/>
      <c r="E55" s="536"/>
      <c r="F55" s="536"/>
      <c r="G55" s="19"/>
      <c r="H55" s="19"/>
      <c r="I55" s="19"/>
      <c r="J55" s="19"/>
      <c r="K55" s="19"/>
    </row>
    <row r="56" spans="2:13" ht="18" customHeight="1" thickBot="1">
      <c r="B56" s="159" t="s">
        <v>432</v>
      </c>
      <c r="C56" s="159"/>
      <c r="D56" s="159"/>
      <c r="E56" s="19"/>
      <c r="F56" s="127"/>
      <c r="G56" s="543" t="s">
        <v>394</v>
      </c>
      <c r="H56" s="543"/>
      <c r="I56" s="19"/>
      <c r="J56" s="19"/>
      <c r="K56" s="19"/>
    </row>
    <row r="57" spans="2:13" ht="75.75" customHeight="1">
      <c r="B57" s="531" t="s">
        <v>408</v>
      </c>
      <c r="C57" s="152"/>
      <c r="D57" s="152"/>
      <c r="E57" s="530" t="s">
        <v>33</v>
      </c>
      <c r="F57" s="530"/>
      <c r="G57" s="530"/>
      <c r="H57" s="131" t="s">
        <v>400</v>
      </c>
      <c r="I57" s="93"/>
      <c r="J57" s="19"/>
      <c r="K57" s="19"/>
      <c r="L57" s="19"/>
      <c r="M57" s="19"/>
    </row>
    <row r="58" spans="2:13" ht="18.75">
      <c r="B58" s="532"/>
      <c r="C58" s="153"/>
      <c r="D58" s="153"/>
      <c r="E58" s="537" t="s">
        <v>28</v>
      </c>
      <c r="F58" s="538"/>
      <c r="G58" s="538"/>
      <c r="H58" s="539"/>
      <c r="I58" s="94"/>
      <c r="J58" s="19"/>
      <c r="K58" s="19"/>
      <c r="L58" s="19"/>
      <c r="M58" s="19"/>
    </row>
    <row r="59" spans="2:13" ht="37.5" customHeight="1">
      <c r="B59" s="533"/>
      <c r="C59" s="154"/>
      <c r="D59" s="154"/>
      <c r="E59" s="121" t="s">
        <v>26</v>
      </c>
      <c r="F59" s="121" t="s">
        <v>27</v>
      </c>
      <c r="G59" s="121" t="s">
        <v>392</v>
      </c>
      <c r="H59" s="151" t="s">
        <v>398</v>
      </c>
      <c r="I59" s="19"/>
      <c r="J59" s="19"/>
      <c r="K59" s="19"/>
      <c r="L59" s="19"/>
      <c r="M59" s="19"/>
    </row>
    <row r="60" spans="2:13" s="191" customFormat="1" ht="18.75">
      <c r="B60" s="360" t="s">
        <v>424</v>
      </c>
      <c r="C60" s="361"/>
      <c r="D60" s="361"/>
      <c r="E60" s="362">
        <f>E61+E62+E63+E64</f>
        <v>772.41</v>
      </c>
      <c r="F60" s="363">
        <f>F61+F62+F63+F64</f>
        <v>772.41</v>
      </c>
      <c r="G60" s="363">
        <f>G61+G62+G63+G64</f>
        <v>772.41</v>
      </c>
      <c r="H60" s="364">
        <f>H61+H62+H63+H64</f>
        <v>772.41</v>
      </c>
      <c r="I60" s="190"/>
      <c r="J60" s="190"/>
      <c r="K60" s="190"/>
      <c r="L60" s="190"/>
      <c r="M60" s="190"/>
    </row>
    <row r="61" spans="2:13" s="191" customFormat="1" ht="25.5" customHeight="1">
      <c r="B61" s="188" t="s">
        <v>409</v>
      </c>
      <c r="C61" s="189"/>
      <c r="D61" s="189"/>
      <c r="E61" s="132">
        <v>292.06</v>
      </c>
      <c r="F61" s="132">
        <v>292.06</v>
      </c>
      <c r="G61" s="132">
        <v>292.06</v>
      </c>
      <c r="H61" s="132">
        <v>292.06</v>
      </c>
      <c r="I61" s="190"/>
      <c r="J61" s="190"/>
      <c r="K61" s="190"/>
      <c r="L61" s="190"/>
      <c r="M61" s="190"/>
    </row>
    <row r="62" spans="2:13" ht="18.75">
      <c r="B62" s="130" t="s">
        <v>410</v>
      </c>
      <c r="C62" s="155"/>
      <c r="D62" s="155"/>
      <c r="E62" s="132">
        <v>184.34</v>
      </c>
      <c r="F62" s="132">
        <v>184.34</v>
      </c>
      <c r="G62" s="132">
        <v>184.34</v>
      </c>
      <c r="H62" s="132">
        <v>184.34</v>
      </c>
      <c r="I62" s="19"/>
      <c r="J62" s="19"/>
      <c r="K62" s="19"/>
      <c r="L62" s="19"/>
      <c r="M62" s="19"/>
    </row>
    <row r="63" spans="2:13" ht="31.5">
      <c r="B63" s="130" t="s">
        <v>411</v>
      </c>
      <c r="C63" s="155"/>
      <c r="D63" s="155"/>
      <c r="E63" s="132">
        <v>78.02</v>
      </c>
      <c r="F63" s="132">
        <v>78.02</v>
      </c>
      <c r="G63" s="132">
        <v>78.02</v>
      </c>
      <c r="H63" s="132">
        <v>78.02</v>
      </c>
      <c r="I63" s="19"/>
      <c r="J63" s="19"/>
      <c r="K63" s="19"/>
      <c r="L63" s="19"/>
      <c r="M63" s="19"/>
    </row>
    <row r="64" spans="2:13" ht="32.25" thickBot="1">
      <c r="B64" s="336" t="s">
        <v>412</v>
      </c>
      <c r="C64" s="337"/>
      <c r="D64" s="337"/>
      <c r="E64" s="338">
        <v>217.99</v>
      </c>
      <c r="F64" s="338">
        <v>217.99</v>
      </c>
      <c r="G64" s="338">
        <v>217.99</v>
      </c>
      <c r="H64" s="338">
        <v>217.99</v>
      </c>
      <c r="I64" s="19"/>
      <c r="J64" s="19"/>
      <c r="K64" s="19"/>
      <c r="L64" s="19"/>
      <c r="M64" s="19"/>
    </row>
    <row r="65" spans="2:13" ht="19.5" thickBot="1">
      <c r="B65" s="334" t="s">
        <v>16</v>
      </c>
      <c r="C65" s="335"/>
      <c r="D65" s="335"/>
      <c r="E65" s="545">
        <f>IF(E8="да",SUMIF(E13:E16,"да",H61:H64),IF(E9&lt;=150,SUMIF(E13:E16,"да",E61:E64),IF(E9&lt;=670,SUMIF(E13:E16,"да",F61:F64),IF(E9&gt;670,SUMIF(E13:E16,"да",G61:G64)))))</f>
        <v>694.39</v>
      </c>
      <c r="F65" s="546"/>
      <c r="G65" s="546"/>
      <c r="H65" s="547"/>
      <c r="I65" s="19"/>
      <c r="J65" s="19"/>
      <c r="K65" s="19"/>
      <c r="L65" s="19"/>
      <c r="M65" s="19"/>
    </row>
    <row r="66" spans="2:13" ht="16.5" thickBot="1">
      <c r="B66" s="92"/>
      <c r="C66" s="92"/>
      <c r="D66" s="92"/>
      <c r="E66" s="19"/>
      <c r="F66" s="19"/>
      <c r="G66" s="19"/>
      <c r="H66" s="19"/>
      <c r="I66" s="19"/>
      <c r="J66" s="19"/>
      <c r="K66" s="19"/>
      <c r="L66" s="19"/>
      <c r="M66" s="19"/>
    </row>
    <row r="67" spans="2:13" ht="16.5" hidden="1" thickBot="1">
      <c r="B67" s="92"/>
      <c r="C67" s="92"/>
      <c r="D67" s="92"/>
      <c r="E67" s="19"/>
      <c r="F67" s="19"/>
      <c r="G67" s="19"/>
      <c r="H67" s="19"/>
      <c r="I67" s="19"/>
      <c r="J67" s="19"/>
      <c r="K67" s="19"/>
      <c r="L67" s="19"/>
      <c r="M67" s="19"/>
    </row>
    <row r="68" spans="2:13" ht="16.5" hidden="1" thickBot="1">
      <c r="B68" s="92"/>
      <c r="C68" s="92"/>
      <c r="D68" s="92"/>
      <c r="E68" s="19"/>
      <c r="F68" s="19"/>
      <c r="G68" s="19"/>
      <c r="H68" s="19"/>
      <c r="I68" s="19"/>
      <c r="J68" s="19"/>
      <c r="K68" s="19"/>
      <c r="L68" s="19"/>
      <c r="M68" s="19"/>
    </row>
    <row r="69" spans="2:13" ht="16.5" hidden="1" thickBot="1">
      <c r="B69" s="92"/>
      <c r="C69" s="92"/>
      <c r="D69" s="92"/>
      <c r="E69" s="19"/>
      <c r="F69" s="19"/>
      <c r="G69" s="19"/>
      <c r="H69" s="19"/>
      <c r="I69" s="19"/>
      <c r="J69" s="19"/>
      <c r="K69" s="19"/>
      <c r="L69" s="19"/>
      <c r="M69" s="19"/>
    </row>
    <row r="70" spans="2:13" ht="16.5" hidden="1" thickBot="1">
      <c r="B70" s="18"/>
      <c r="C70" s="139"/>
      <c r="D70" s="139"/>
      <c r="E70" s="19"/>
      <c r="F70" s="19"/>
      <c r="G70" s="19"/>
      <c r="H70" s="19"/>
      <c r="I70" s="19"/>
      <c r="J70" s="19"/>
      <c r="K70" s="19"/>
      <c r="L70" s="19"/>
      <c r="M70" s="19"/>
    </row>
    <row r="71" spans="2:13" ht="15.75" hidden="1" thickBot="1">
      <c r="B71" s="20"/>
      <c r="C71" s="20"/>
      <c r="D71" s="20"/>
      <c r="E71" s="19"/>
      <c r="F71" s="21" t="s">
        <v>55</v>
      </c>
      <c r="G71" s="12" t="s">
        <v>29</v>
      </c>
      <c r="H71" s="12" t="s">
        <v>30</v>
      </c>
      <c r="I71" s="12" t="s">
        <v>31</v>
      </c>
      <c r="J71" s="12" t="s">
        <v>32</v>
      </c>
      <c r="K71" s="19"/>
      <c r="L71" s="19"/>
      <c r="M71" s="19"/>
    </row>
    <row r="72" spans="2:13" ht="61.5" hidden="1" customHeight="1">
      <c r="B72" s="22" t="s">
        <v>337</v>
      </c>
      <c r="C72" s="22"/>
      <c r="D72" s="22"/>
      <c r="E72" s="23" t="s">
        <v>3</v>
      </c>
      <c r="F72" s="23" t="s">
        <v>3</v>
      </c>
      <c r="G72" s="23" t="s">
        <v>3</v>
      </c>
      <c r="H72" s="23" t="s">
        <v>3</v>
      </c>
      <c r="I72" s="23" t="s">
        <v>3</v>
      </c>
      <c r="J72" s="19"/>
      <c r="K72" s="19"/>
      <c r="L72" s="19"/>
    </row>
    <row r="73" spans="2:13" ht="16.5" hidden="1" thickBot="1">
      <c r="B73" s="78" t="s">
        <v>33</v>
      </c>
      <c r="C73" s="79"/>
      <c r="D73" s="79"/>
      <c r="E73" s="79"/>
      <c r="F73" s="79"/>
      <c r="G73" s="79"/>
      <c r="H73" s="79"/>
      <c r="I73" s="80"/>
      <c r="J73" s="19"/>
      <c r="K73" s="19"/>
      <c r="L73" s="19"/>
    </row>
    <row r="74" spans="2:13" ht="16.5" hidden="1" thickBot="1">
      <c r="B74" s="76" t="s">
        <v>28</v>
      </c>
      <c r="C74" s="156"/>
      <c r="D74" s="156"/>
      <c r="E74" s="3"/>
      <c r="F74" s="3"/>
      <c r="G74" s="3"/>
      <c r="H74" s="3"/>
      <c r="I74" s="4"/>
      <c r="J74" s="19"/>
      <c r="K74" s="19"/>
      <c r="L74" s="19"/>
    </row>
    <row r="75" spans="2:13" ht="16.5" hidden="1" thickBot="1">
      <c r="B75" s="81" t="s">
        <v>26</v>
      </c>
      <c r="C75" s="81"/>
      <c r="D75" s="81"/>
      <c r="E75" s="25">
        <v>1205</v>
      </c>
      <c r="F75" s="26">
        <v>709.27</v>
      </c>
      <c r="G75" s="26">
        <v>182.07</v>
      </c>
      <c r="H75" s="26">
        <v>0</v>
      </c>
      <c r="I75" s="26">
        <v>313.66000000000003</v>
      </c>
      <c r="J75" s="19"/>
      <c r="K75" s="19"/>
      <c r="L75" s="19"/>
    </row>
    <row r="76" spans="2:13" ht="16.5" hidden="1" thickBot="1">
      <c r="B76" s="81" t="s">
        <v>27</v>
      </c>
      <c r="C76" s="81"/>
      <c r="D76" s="81"/>
      <c r="E76" s="25">
        <v>763</v>
      </c>
      <c r="F76" s="26">
        <v>191</v>
      </c>
      <c r="G76" s="26">
        <v>42.88</v>
      </c>
      <c r="H76" s="26">
        <v>29.94</v>
      </c>
      <c r="I76" s="26">
        <v>499.18</v>
      </c>
      <c r="J76" s="19"/>
      <c r="K76" s="19"/>
      <c r="L76" s="19"/>
    </row>
    <row r="77" spans="2:13" ht="27" hidden="1" customHeight="1">
      <c r="B77" s="81" t="s">
        <v>27</v>
      </c>
      <c r="C77" s="81"/>
      <c r="D77" s="81"/>
      <c r="E77" s="25">
        <v>510</v>
      </c>
      <c r="F77" s="26">
        <v>53.23</v>
      </c>
      <c r="G77" s="26">
        <v>13.09</v>
      </c>
      <c r="H77" s="26">
        <v>7.39</v>
      </c>
      <c r="I77" s="26">
        <v>436.29</v>
      </c>
      <c r="J77" s="19"/>
      <c r="K77" s="19"/>
      <c r="L77" s="19"/>
    </row>
    <row r="78" spans="2:13" ht="16.5" hidden="1" thickBot="1">
      <c r="B78" s="78" t="s">
        <v>34</v>
      </c>
      <c r="C78" s="79"/>
      <c r="D78" s="79"/>
      <c r="E78" s="79"/>
      <c r="F78" s="79"/>
      <c r="G78" s="79"/>
      <c r="H78" s="79"/>
      <c r="I78" s="80"/>
      <c r="J78" s="19"/>
      <c r="K78" s="19"/>
      <c r="L78" s="19"/>
    </row>
    <row r="79" spans="2:13" ht="16.5" hidden="1" thickBot="1">
      <c r="B79" s="22" t="s">
        <v>28</v>
      </c>
      <c r="C79" s="22"/>
      <c r="D79" s="22"/>
      <c r="E79" s="27">
        <v>383</v>
      </c>
      <c r="F79" s="28">
        <v>219.22</v>
      </c>
      <c r="G79" s="28">
        <v>108.88</v>
      </c>
      <c r="H79" s="28">
        <v>0</v>
      </c>
      <c r="I79" s="28">
        <v>54.9</v>
      </c>
      <c r="J79" s="19"/>
      <c r="K79" s="19"/>
      <c r="L79" s="19"/>
    </row>
    <row r="80" spans="2:13" ht="19.5" hidden="1" customHeight="1">
      <c r="B80" s="128" t="s">
        <v>16</v>
      </c>
      <c r="C80" s="128"/>
      <c r="D80" s="128"/>
      <c r="E80" s="129">
        <f>IF(E8="да",SUMIF(E13:E16,"да",P13:P16),IF(E9&lt;=150,SUMIF(E13:E16,"да",K13:K16),IF(E9&lt;=670,SUMIF(E13:E16,"да",L13:L16),IF(E9&gt;670,SUMIF(E13:E16,"да",M13:M16)))))</f>
        <v>1205</v>
      </c>
      <c r="F80" s="29"/>
      <c r="G80" s="30"/>
      <c r="H80" s="30"/>
      <c r="I80" s="30"/>
      <c r="J80" s="19"/>
      <c r="K80" s="19"/>
      <c r="L80" s="19"/>
    </row>
    <row r="81" spans="2:32" ht="20.25" customHeight="1">
      <c r="B81" s="534" t="s">
        <v>463</v>
      </c>
      <c r="C81" s="157"/>
      <c r="D81" s="157"/>
      <c r="E81" s="133" t="s">
        <v>327</v>
      </c>
      <c r="F81" s="133" t="s">
        <v>406</v>
      </c>
      <c r="G81" s="133" t="s">
        <v>407</v>
      </c>
      <c r="H81" s="134" t="s">
        <v>413</v>
      </c>
      <c r="I81" s="19"/>
    </row>
    <row r="82" spans="2:32" ht="20.25" customHeight="1" thickBot="1">
      <c r="B82" s="535"/>
      <c r="C82" s="158"/>
      <c r="D82" s="158"/>
      <c r="E82" s="135">
        <v>3.99</v>
      </c>
      <c r="F82" s="136">
        <v>4.5599999999999996</v>
      </c>
      <c r="G82" s="136">
        <v>4.4400000000000004</v>
      </c>
      <c r="H82" s="137">
        <v>5.94</v>
      </c>
      <c r="I82" s="19"/>
    </row>
    <row r="83" spans="2:32" ht="22.5" customHeight="1">
      <c r="B83" s="5"/>
      <c r="C83" s="31"/>
      <c r="D83" s="21"/>
      <c r="E83" s="333"/>
      <c r="F83" s="333"/>
      <c r="G83" s="333"/>
      <c r="H83" s="333"/>
      <c r="I83" s="19"/>
      <c r="J83" s="19"/>
      <c r="K83" s="19"/>
      <c r="AF83" s="104"/>
    </row>
    <row r="84" spans="2:32" hidden="1">
      <c r="B84" s="20"/>
      <c r="C84" s="19"/>
      <c r="D84" s="19" t="s">
        <v>42</v>
      </c>
      <c r="E84" s="19" t="s">
        <v>43</v>
      </c>
      <c r="F84" s="19" t="s">
        <v>0</v>
      </c>
      <c r="G84" s="19" t="s">
        <v>1</v>
      </c>
      <c r="H84" s="19" t="s">
        <v>40</v>
      </c>
      <c r="I84" s="19" t="s">
        <v>61</v>
      </c>
      <c r="J84" s="32" t="s">
        <v>62</v>
      </c>
      <c r="AF84" s="104"/>
    </row>
    <row r="85" spans="2:32" ht="87" hidden="1" customHeight="1">
      <c r="B85" s="22" t="s">
        <v>2</v>
      </c>
      <c r="C85" s="23" t="s">
        <v>54</v>
      </c>
      <c r="D85" s="23" t="s">
        <v>4</v>
      </c>
      <c r="E85" s="23" t="s">
        <v>4</v>
      </c>
      <c r="F85" s="23" t="s">
        <v>4</v>
      </c>
      <c r="G85" s="23" t="s">
        <v>4</v>
      </c>
      <c r="H85" s="23" t="s">
        <v>3</v>
      </c>
      <c r="I85" s="23" t="s">
        <v>3</v>
      </c>
      <c r="J85" s="33" t="s">
        <v>3</v>
      </c>
      <c r="K85" s="34"/>
      <c r="L85" s="34"/>
      <c r="AF85" s="104"/>
    </row>
    <row r="86" spans="2:32" ht="15.75" hidden="1">
      <c r="B86" s="527">
        <v>0.4</v>
      </c>
      <c r="C86" s="24" t="s">
        <v>26</v>
      </c>
      <c r="D86" s="26">
        <v>190328</v>
      </c>
      <c r="E86" s="26">
        <v>117522</v>
      </c>
      <c r="F86" s="26">
        <v>241263</v>
      </c>
      <c r="G86" s="26">
        <v>1700110</v>
      </c>
      <c r="H86" s="26">
        <v>0</v>
      </c>
      <c r="I86" s="26">
        <v>630</v>
      </c>
      <c r="J86" s="35">
        <v>1933.36</v>
      </c>
      <c r="K86" s="36"/>
      <c r="L86" s="36"/>
      <c r="AF86" s="104"/>
    </row>
    <row r="87" spans="2:32" ht="31.5" hidden="1">
      <c r="B87" s="528"/>
      <c r="C87" s="24" t="s">
        <v>60</v>
      </c>
      <c r="D87" s="26">
        <v>196224</v>
      </c>
      <c r="E87" s="26">
        <v>124608</v>
      </c>
      <c r="F87" s="26">
        <v>264320</v>
      </c>
      <c r="G87" s="26">
        <v>1730626.4</v>
      </c>
      <c r="H87" s="26">
        <v>0</v>
      </c>
      <c r="I87" s="26">
        <v>428</v>
      </c>
      <c r="J87" s="35">
        <v>1347.42</v>
      </c>
      <c r="K87" s="36"/>
      <c r="L87" s="36"/>
      <c r="AF87" s="104"/>
    </row>
    <row r="88" spans="2:32" ht="15.75" hidden="1">
      <c r="B88" s="528"/>
      <c r="C88" s="23" t="s">
        <v>7</v>
      </c>
      <c r="D88" s="26">
        <v>217789</v>
      </c>
      <c r="E88" s="26">
        <v>142520</v>
      </c>
      <c r="F88" s="26">
        <v>264320</v>
      </c>
      <c r="G88" s="26">
        <v>1930780</v>
      </c>
      <c r="H88" s="26">
        <v>0</v>
      </c>
      <c r="I88" s="26">
        <v>380</v>
      </c>
      <c r="J88" s="35">
        <v>1152.52</v>
      </c>
      <c r="K88" s="36"/>
      <c r="L88" s="36"/>
      <c r="AF88" s="104"/>
    </row>
    <row r="89" spans="2:32" ht="15.75" hidden="1">
      <c r="B89" s="540" t="s">
        <v>16</v>
      </c>
      <c r="C89" s="541"/>
      <c r="D89" s="37">
        <f>IF(OR(E10&gt;150,E10="",E10=0),IF(E7&gt;1,0,IF(#REF!=0,0,IF(E9&lt;=150,D86,IF(E9&lt;=670,D87,D88)))),(IF(E7&gt;1,0,IF(#REF!=0,0,IF(E9&lt;=150,D86,IF(E9&lt;=670,D87,D88)))))/2)</f>
        <v>0</v>
      </c>
      <c r="E89" s="37">
        <f>IF(OR(E10&gt;150,E10="",E10=0),IF(E7&gt;1,0,IF(#REF!=0,0,IF(E9&lt;=150,E86,IF(E9&lt;=670,E87,E88)))),(IF(E7&gt;1,0,IF(#REF!=0,0,IF(E9&lt;=150,E86,IF(E9&lt;=670,E87,E88)))))/2)</f>
        <v>0</v>
      </c>
      <c r="F89" s="37">
        <f>IF(OR(E10&gt;150,E10="",E10=0),IF(E7&gt;1,0,IF(#REF!=0,0,IF(E9&lt;=150,F86,IF(E9&lt;=670,F87,F88)))),(IF(E7&gt;1,0,IF(#REF!=0,0,IF(E9&lt;=150,F86,IF(E9&lt;=670,F87,F88)))))/2)</f>
        <v>0</v>
      </c>
      <c r="G89" s="37">
        <f>IF(OR(E10&gt;150,E10="",E10=0),IF(E7&gt;1,0,IF(#REF!=0,0,IF(E9&lt;=150,G86,IF(E9&lt;=670,G87,G88)))),(IF(E7&gt;1,0,IF(#REF!=0,0,IF(E9&lt;=150,G86,IF(E9&lt;=670,G87,G88)))))/2)</f>
        <v>0</v>
      </c>
      <c r="H89" s="37">
        <v>0</v>
      </c>
      <c r="I89" s="37">
        <f>IF(OR(E10&gt;150,E10="",E10=0),IF(E7&gt;1,0,IF(E11&lt;3,0,IF(#REF!="нет",0,IF(E9&lt;=150,I86,IF(E9&lt;=670,I87,I88))))),(IF(E7&gt;1,0,IF(E11&lt;3,0,IF(#REF!="нет",0,IF(E9&lt;=150,I86,IF(E9&lt;=670,I87,I88))))))/2)</f>
        <v>0</v>
      </c>
      <c r="J89" s="37">
        <f>IF(OR(E10&gt;150,E10="",E10=0),IF(E7&gt;1,0,IF(E11=3,0,IF(#REF!="нет",0, IF(E9&lt;=150,J86,IF(E9&lt;=670,J87,J88))))),(IF(E7&gt;1,0,IF(E11=3,0,IF(#REF!="нет",0, IF(E9&lt;=150,J86,IF(E9&lt;=670,J87,J88))))))/2)</f>
        <v>0</v>
      </c>
      <c r="K89" s="34"/>
      <c r="L89" s="34"/>
      <c r="AF89" s="104"/>
    </row>
    <row r="90" spans="2:32" ht="15.75" hidden="1">
      <c r="B90" s="527" t="s">
        <v>8</v>
      </c>
      <c r="C90" s="23" t="s">
        <v>5</v>
      </c>
      <c r="D90" s="26">
        <v>218914</v>
      </c>
      <c r="E90" s="26">
        <v>133795</v>
      </c>
      <c r="F90" s="26">
        <v>389165</v>
      </c>
      <c r="G90" s="26">
        <v>1853961.3</v>
      </c>
      <c r="H90" s="26">
        <v>185.75</v>
      </c>
      <c r="I90" s="26">
        <v>630</v>
      </c>
      <c r="J90" s="35">
        <v>1933.36</v>
      </c>
      <c r="K90" s="36"/>
      <c r="L90" s="36"/>
      <c r="AF90" s="104"/>
    </row>
    <row r="91" spans="2:32" ht="31.5" hidden="1">
      <c r="B91" s="528"/>
      <c r="C91" s="23" t="s">
        <v>6</v>
      </c>
      <c r="D91" s="26">
        <v>226463</v>
      </c>
      <c r="E91" s="26">
        <v>141533</v>
      </c>
      <c r="F91" s="26">
        <v>446494</v>
      </c>
      <c r="G91" s="26">
        <v>1980916.95</v>
      </c>
      <c r="H91" s="26">
        <v>185.75</v>
      </c>
      <c r="I91" s="26">
        <v>428</v>
      </c>
      <c r="J91" s="35">
        <v>1374.42</v>
      </c>
      <c r="K91" s="36"/>
      <c r="L91" s="36"/>
      <c r="AF91" s="104"/>
    </row>
    <row r="92" spans="2:32" ht="15.75" hidden="1">
      <c r="B92" s="548"/>
      <c r="C92" s="23" t="s">
        <v>7</v>
      </c>
      <c r="D92" s="26">
        <v>281223</v>
      </c>
      <c r="E92" s="26">
        <v>190663</v>
      </c>
      <c r="F92" s="26">
        <v>511647</v>
      </c>
      <c r="G92" s="26">
        <v>2489399.9500000002</v>
      </c>
      <c r="H92" s="26">
        <v>185.75</v>
      </c>
      <c r="I92" s="26">
        <v>380</v>
      </c>
      <c r="J92" s="35">
        <v>1152.52</v>
      </c>
      <c r="K92" s="36"/>
      <c r="L92" s="36"/>
      <c r="AF92" s="104"/>
    </row>
    <row r="93" spans="2:32" ht="15.75" hidden="1">
      <c r="B93" s="540" t="s">
        <v>16</v>
      </c>
      <c r="C93" s="541"/>
      <c r="D93" s="37" t="e">
        <f>IF(OR(E10&gt;150,E10="",E10=0),IF(#REF!=0,0,IF(E9&lt;=150,D90,IF(E9&lt;=670,D91,D92))),(IF(#REF!=0,0,IF(E9&lt;=150,D90,IF(E9&lt;=670,D91,D92))))/2)</f>
        <v>#REF!</v>
      </c>
      <c r="E93" s="37" t="e">
        <f>IF(OR(E10&gt;150,E10="",E10=0),IF(#REF!=0,0,IF(E9&lt;=150,E90,IF(E9&lt;=670,E91,E92))),(IF(#REF!=0,0,IF(E9&lt;=150,E90,IF(E9&lt;=670,E91,E92))))/2)</f>
        <v>#REF!</v>
      </c>
      <c r="F93" s="37" t="e">
        <f>IF(OR(E10&gt;150,E10="",E10=0),IF(#REF!=0,0,IF(E9&lt;=150,F90,IF(E9&lt;=670,F91,F92))),(IF(#REF!=0,0,IF(E9&lt;=150,F90,IF(E9&lt;=670,F91,F92))))/2)</f>
        <v>#REF!</v>
      </c>
      <c r="G93" s="37" t="e">
        <f>IF(OR(E10&gt;150,E10="",E10=0),IF(#REF!=0,0,IF(E9&lt;=150,G90,IF(E9&lt;=670,G91,G92))),(IF(#REF!=0,0,IF(E9&lt;=150,G90,IF(E9&lt;=670,G91,G92))))/2)</f>
        <v>#REF!</v>
      </c>
      <c r="H93" s="37" t="e">
        <f>IF(OR(E10&gt;150,E10="",E10=0),IF(#REF!="да",IF(E9&lt;=150,H90,IF(E9&lt;=670,H91,H92)),0),(IF(#REF!="да",IF(E9&lt;=150,H90,IF(E9&lt;=670,H91,H92)),0))/2)</f>
        <v>#REF!</v>
      </c>
      <c r="I93" s="37" t="e">
        <f>IF(OR(E10&gt;150,E10="",E10=0),IF(E7&lt;1,0,IF(E11&lt;3,0,IF(#REF!="нет",0,IF(E9&lt;=150,I90,IF(E9&lt;=670,I91,I92))))),(IF(E7&lt;1,0,IF(E11&lt;3,0,IF(#REF!="нет",0,IF(E9&lt;=150,I90,IF(E9&lt;=670,I91,I92))))))/2)</f>
        <v>#REF!</v>
      </c>
      <c r="J93" s="37" t="e">
        <f>IF(OR(E10&gt;150,E10="",E10=0),IF(E7&lt;1,0,IF(E11=3,0,IF(#REF!="нет",0,IF(E9&lt;=150,J90,IF(E9&lt;=670,J91,J92))))),(IF(E7&lt;1,0,IF(E11=3,0,IF(#REF!="нет",0,IF(E9&lt;=150,J90,IF(E9&lt;=670,J91,J92))))))/2)</f>
        <v>#REF!</v>
      </c>
      <c r="K93" s="34"/>
      <c r="L93" s="34"/>
      <c r="AF93" s="104"/>
    </row>
    <row r="94" spans="2:32" ht="82.5" hidden="1" customHeight="1">
      <c r="B94" s="38" t="s">
        <v>13</v>
      </c>
      <c r="C94" s="6" t="s">
        <v>44</v>
      </c>
      <c r="D94" s="39">
        <v>3.77</v>
      </c>
      <c r="E94" s="39">
        <v>3.77</v>
      </c>
      <c r="F94" s="40">
        <v>4.45</v>
      </c>
      <c r="G94" s="40">
        <v>4.45</v>
      </c>
      <c r="H94" s="40">
        <v>5.63</v>
      </c>
      <c r="I94" s="40">
        <v>5.63</v>
      </c>
      <c r="J94" s="40">
        <v>5.63</v>
      </c>
      <c r="AF94" s="104"/>
    </row>
    <row r="95" spans="2:32" ht="15.75" hidden="1">
      <c r="B95" s="41" t="s">
        <v>9</v>
      </c>
      <c r="C95" s="42"/>
      <c r="D95" s="42"/>
      <c r="E95" s="42"/>
      <c r="F95" s="42"/>
      <c r="G95" s="42"/>
      <c r="H95" s="42"/>
      <c r="I95" s="42"/>
      <c r="J95" s="42"/>
      <c r="K95" s="42"/>
      <c r="AF95" s="104"/>
    </row>
    <row r="96" spans="2:32" ht="48" hidden="1" customHeight="1">
      <c r="B96" s="41" t="s">
        <v>55</v>
      </c>
      <c r="C96" s="529" t="s">
        <v>35</v>
      </c>
      <c r="D96" s="529"/>
      <c r="E96" s="529"/>
      <c r="F96" s="529"/>
      <c r="G96" s="529"/>
      <c r="H96" s="529"/>
      <c r="I96" s="42"/>
      <c r="J96" s="42"/>
      <c r="K96" s="42"/>
      <c r="AF96" s="104"/>
    </row>
    <row r="97" spans="2:32" ht="18.75" hidden="1" customHeight="1">
      <c r="B97" s="43" t="s">
        <v>56</v>
      </c>
      <c r="C97" s="529" t="s">
        <v>36</v>
      </c>
      <c r="D97" s="529"/>
      <c r="E97" s="529"/>
      <c r="F97" s="529"/>
      <c r="G97" s="529"/>
      <c r="H97" s="529"/>
      <c r="I97" s="42"/>
      <c r="J97" s="42"/>
      <c r="K97" s="42"/>
      <c r="AF97" s="104"/>
    </row>
    <row r="98" spans="2:32" ht="18.75" hidden="1" customHeight="1">
      <c r="B98" s="43" t="s">
        <v>57</v>
      </c>
      <c r="C98" s="529" t="s">
        <v>37</v>
      </c>
      <c r="D98" s="529"/>
      <c r="E98" s="529"/>
      <c r="F98" s="529"/>
      <c r="G98" s="529"/>
      <c r="H98" s="529"/>
      <c r="I98" s="42"/>
      <c r="J98" s="42"/>
      <c r="K98" s="42"/>
      <c r="AF98" s="104"/>
    </row>
    <row r="99" spans="2:32" ht="18.75" hidden="1" customHeight="1">
      <c r="B99" s="43" t="s">
        <v>58</v>
      </c>
      <c r="C99" s="529" t="s">
        <v>38</v>
      </c>
      <c r="D99" s="529"/>
      <c r="E99" s="529"/>
      <c r="F99" s="529"/>
      <c r="G99" s="529"/>
      <c r="H99" s="529"/>
      <c r="I99" s="42"/>
      <c r="J99" s="42"/>
      <c r="K99" s="42"/>
      <c r="AF99" s="104"/>
    </row>
    <row r="100" spans="2:32" ht="33.75" hidden="1" customHeight="1">
      <c r="B100" s="43" t="s">
        <v>59</v>
      </c>
      <c r="C100" s="529" t="s">
        <v>39</v>
      </c>
      <c r="D100" s="529"/>
      <c r="E100" s="529"/>
      <c r="F100" s="529"/>
      <c r="G100" s="529"/>
      <c r="H100" s="529"/>
      <c r="I100" s="42"/>
      <c r="J100" s="42"/>
      <c r="K100" s="42"/>
      <c r="AF100" s="104"/>
    </row>
    <row r="101" spans="2:32" ht="33.75" hidden="1" customHeight="1">
      <c r="B101" s="41" t="s">
        <v>42</v>
      </c>
      <c r="C101" s="529" t="s">
        <v>10</v>
      </c>
      <c r="D101" s="529"/>
      <c r="E101" s="529"/>
      <c r="F101" s="529"/>
      <c r="G101" s="529"/>
      <c r="H101" s="529"/>
      <c r="I101" s="42"/>
      <c r="J101" s="42"/>
      <c r="K101" s="42"/>
      <c r="AF101" s="104"/>
    </row>
    <row r="102" spans="2:32" ht="32.25" hidden="1" customHeight="1">
      <c r="B102" s="41" t="s">
        <v>43</v>
      </c>
      <c r="C102" s="529" t="s">
        <v>45</v>
      </c>
      <c r="D102" s="529"/>
      <c r="E102" s="529"/>
      <c r="F102" s="529"/>
      <c r="G102" s="529"/>
      <c r="H102" s="529"/>
      <c r="I102" s="42"/>
      <c r="J102" s="42"/>
      <c r="K102" s="42"/>
      <c r="AF102" s="104"/>
    </row>
    <row r="103" spans="2:32" ht="34.5" hidden="1" customHeight="1">
      <c r="B103" s="41" t="s">
        <v>0</v>
      </c>
      <c r="C103" s="529" t="s">
        <v>11</v>
      </c>
      <c r="D103" s="529"/>
      <c r="E103" s="529"/>
      <c r="F103" s="529"/>
      <c r="G103" s="529"/>
      <c r="H103" s="529"/>
      <c r="AF103" s="104"/>
    </row>
    <row r="104" spans="2:32" ht="33.75" hidden="1" customHeight="1">
      <c r="B104" s="41" t="s">
        <v>1</v>
      </c>
      <c r="C104" s="529" t="s">
        <v>12</v>
      </c>
      <c r="D104" s="529"/>
      <c r="E104" s="529"/>
      <c r="F104" s="529"/>
      <c r="G104" s="529"/>
      <c r="H104" s="529"/>
      <c r="AF104" s="104"/>
    </row>
    <row r="105" spans="2:32" ht="36.75" hidden="1" customHeight="1">
      <c r="B105" s="41" t="s">
        <v>40</v>
      </c>
      <c r="C105" s="529" t="s">
        <v>64</v>
      </c>
      <c r="D105" s="529"/>
      <c r="E105" s="529"/>
      <c r="F105" s="529"/>
      <c r="G105" s="529"/>
      <c r="H105" s="529"/>
      <c r="AF105" s="104"/>
    </row>
    <row r="106" spans="2:32" ht="31.5" hidden="1" customHeight="1">
      <c r="B106" s="41" t="s">
        <v>41</v>
      </c>
      <c r="C106" s="529" t="s">
        <v>65</v>
      </c>
      <c r="D106" s="529"/>
      <c r="E106" s="529"/>
      <c r="F106" s="529"/>
      <c r="G106" s="529"/>
      <c r="H106" s="529"/>
      <c r="AF106" s="104"/>
    </row>
    <row r="107" spans="2:32" hidden="1">
      <c r="B107" s="44"/>
      <c r="C107" s="7"/>
      <c r="D107" s="7"/>
      <c r="E107" s="7"/>
      <c r="F107" s="7"/>
      <c r="G107" s="7"/>
      <c r="H107" s="7"/>
      <c r="AF107" s="104"/>
    </row>
    <row r="108" spans="2:32" s="147" customFormat="1" ht="23.25" customHeight="1">
      <c r="B108" s="356" t="s">
        <v>14</v>
      </c>
      <c r="C108" s="357"/>
      <c r="D108" s="357"/>
      <c r="E108" s="517" t="s">
        <v>404</v>
      </c>
      <c r="F108" s="517"/>
      <c r="G108" s="517"/>
      <c r="H108" s="517"/>
      <c r="I108" s="358"/>
      <c r="J108" s="358"/>
      <c r="K108" s="359"/>
      <c r="AF108" s="359"/>
    </row>
    <row r="109" spans="2:32" ht="18.75">
      <c r="B109" s="90"/>
      <c r="C109" s="91"/>
      <c r="D109" s="91"/>
      <c r="E109" s="91"/>
      <c r="F109" s="91"/>
      <c r="G109" s="91"/>
      <c r="H109" s="91"/>
      <c r="I109" s="105"/>
      <c r="AF109" s="104"/>
    </row>
    <row r="110" spans="2:32" s="147" customFormat="1" ht="21.75" customHeight="1">
      <c r="B110" s="356" t="s">
        <v>15</v>
      </c>
      <c r="C110" s="357"/>
      <c r="D110" s="357"/>
      <c r="E110" s="517" t="s">
        <v>404</v>
      </c>
      <c r="F110" s="517"/>
      <c r="G110" s="517"/>
      <c r="H110" s="517"/>
      <c r="I110" s="358"/>
      <c r="J110" s="358"/>
      <c r="K110" s="359"/>
      <c r="AF110" s="359"/>
    </row>
  </sheetData>
  <mergeCells count="30">
    <mergeCell ref="B1:H1"/>
    <mergeCell ref="B2:H2"/>
    <mergeCell ref="E65:H65"/>
    <mergeCell ref="B90:B92"/>
    <mergeCell ref="C101:H101"/>
    <mergeCell ref="C97:H97"/>
    <mergeCell ref="C98:H98"/>
    <mergeCell ref="C103:H103"/>
    <mergeCell ref="E108:H108"/>
    <mergeCell ref="E3:F3"/>
    <mergeCell ref="C100:H100"/>
    <mergeCell ref="C102:H102"/>
    <mergeCell ref="C106:H106"/>
    <mergeCell ref="G56:H56"/>
    <mergeCell ref="E110:H110"/>
    <mergeCell ref="B5:F5"/>
    <mergeCell ref="B6:F6"/>
    <mergeCell ref="B16:D16"/>
    <mergeCell ref="B86:B88"/>
    <mergeCell ref="C96:H96"/>
    <mergeCell ref="E57:G57"/>
    <mergeCell ref="B57:B59"/>
    <mergeCell ref="B81:B82"/>
    <mergeCell ref="B55:F55"/>
    <mergeCell ref="E58:H58"/>
    <mergeCell ref="C104:H104"/>
    <mergeCell ref="C105:H105"/>
    <mergeCell ref="B89:C89"/>
    <mergeCell ref="B93:C93"/>
    <mergeCell ref="C99:H99"/>
  </mergeCells>
  <conditionalFormatting sqref="B18:E45">
    <cfRule type="containsErrors" dxfId="9" priority="57">
      <formula>ISERROR(B18)</formula>
    </cfRule>
  </conditionalFormatting>
  <conditionalFormatting sqref="B18:B44">
    <cfRule type="containsText" dxfId="8" priority="56" operator="containsText" text="Строительство">
      <formula>NOT(ISERROR(SEARCH("Строительство",B18)))</formula>
    </cfRule>
  </conditionalFormatting>
  <conditionalFormatting sqref="E18:E44">
    <cfRule type="expression" dxfId="7" priority="6">
      <formula>OR(EXACT(E18,"да"),EXACT(E18,"нет"))</formula>
    </cfRule>
  </conditionalFormatting>
  <conditionalFormatting sqref="B10:D10">
    <cfRule type="containsText" dxfId="6" priority="4" operator="containsText" text="Расчет неверен">
      <formula>NOT(ISERROR(SEARCH("Расчет неверен",B10)))</formula>
    </cfRule>
  </conditionalFormatting>
  <conditionalFormatting sqref="F18:F44">
    <cfRule type="containsErrors" dxfId="5" priority="1">
      <formula>ISERROR(F18)</formula>
    </cfRule>
  </conditionalFormatting>
  <pageMargins left="0.23622047244094491" right="0.23622047244094491" top="0.15748031496062992" bottom="0.15748031496062992" header="0.31496062992125984" footer="0.31496062992125984"/>
  <pageSetup paperSize="9" scale="47" fitToHeight="20" orientation="portrait" r:id="rId1"/>
  <legacyDrawing r:id="rId2"/>
  <controls>
    <control shapeId="1044" r:id="rId3" name="ComboBox7"/>
    <control shapeId="1043" r:id="rId4" name="ComboBox6"/>
    <control shapeId="1042" r:id="rId5" name="ComboBox5"/>
    <control shapeId="1041" r:id="rId6" name="ComboBox4"/>
    <control shapeId="1040" r:id="rId7" name="ComboBox3"/>
    <control shapeId="1035" r:id="rId8" name="ComboBox1"/>
    <control shapeId="1038" r:id="rId9" name="ComboBox2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outlinePr summaryBelow="0"/>
    <pageSetUpPr fitToPage="1"/>
  </sheetPr>
  <dimension ref="B1:AV110"/>
  <sheetViews>
    <sheetView view="pageBreakPreview" topLeftCell="A52" zoomScaleNormal="100" zoomScaleSheetLayoutView="100" workbookViewId="0">
      <selection activeCell="AH13" sqref="AH13"/>
    </sheetView>
  </sheetViews>
  <sheetFormatPr defaultColWidth="9.140625" defaultRowHeight="15"/>
  <cols>
    <col min="1" max="1" width="1.7109375" style="2" customWidth="1"/>
    <col min="2" max="2" width="118.7109375" style="14" customWidth="1"/>
    <col min="3" max="3" width="27.5703125" style="2" hidden="1" customWidth="1"/>
    <col min="4" max="4" width="24.85546875" style="2" hidden="1" customWidth="1"/>
    <col min="5" max="5" width="26.140625" style="2" customWidth="1"/>
    <col min="6" max="6" width="23.140625" style="2" customWidth="1"/>
    <col min="7" max="7" width="21.5703125" style="2" customWidth="1"/>
    <col min="8" max="8" width="16.28515625" style="2" customWidth="1"/>
    <col min="9" max="10" width="17.140625" style="2" hidden="1" customWidth="1"/>
    <col min="11" max="18" width="9.140625" style="2" hidden="1" customWidth="1"/>
    <col min="19" max="19" width="3.28515625" style="2" hidden="1" customWidth="1"/>
    <col min="20" max="25" width="9.140625" style="2" hidden="1" customWidth="1"/>
    <col min="26" max="26" width="0.7109375" style="2" hidden="1" customWidth="1"/>
    <col min="27" max="27" width="20.7109375" style="2" hidden="1" customWidth="1"/>
    <col min="28" max="28" width="24" style="2" hidden="1" customWidth="1"/>
    <col min="29" max="30" width="9.140625" style="2" hidden="1" customWidth="1"/>
    <col min="31" max="31" width="13.28515625" style="2" hidden="1" customWidth="1"/>
    <col min="32" max="34" width="9.140625" style="2" customWidth="1"/>
    <col min="35" max="16384" width="9.140625" style="2"/>
  </cols>
  <sheetData>
    <row r="1" spans="2:18" ht="20.25" customHeight="1">
      <c r="B1" s="544" t="s">
        <v>461</v>
      </c>
      <c r="C1" s="544"/>
      <c r="D1" s="544"/>
      <c r="E1" s="544"/>
      <c r="F1" s="544"/>
      <c r="G1" s="544"/>
      <c r="H1" s="544"/>
      <c r="I1" s="68"/>
    </row>
    <row r="2" spans="2:18" ht="20.25" customHeight="1">
      <c r="B2" s="544" t="s">
        <v>20</v>
      </c>
      <c r="C2" s="544"/>
      <c r="D2" s="544"/>
      <c r="E2" s="544"/>
      <c r="F2" s="544"/>
      <c r="G2" s="544"/>
      <c r="H2" s="544"/>
      <c r="I2" s="68"/>
    </row>
    <row r="3" spans="2:18" ht="23.25">
      <c r="B3" s="192" t="s">
        <v>21</v>
      </c>
      <c r="C3" s="193"/>
      <c r="D3" s="194"/>
      <c r="E3" s="542" t="s">
        <v>460</v>
      </c>
      <c r="F3" s="542"/>
      <c r="G3" s="69"/>
      <c r="H3" s="8"/>
      <c r="I3" s="9"/>
    </row>
    <row r="4" spans="2:18" ht="21" thickBot="1">
      <c r="B4" s="10"/>
      <c r="C4" s="11"/>
      <c r="D4" s="11"/>
      <c r="E4" s="11"/>
      <c r="F4" s="11"/>
      <c r="G4" s="11"/>
      <c r="H4" s="11"/>
    </row>
    <row r="5" spans="2:18" s="191" customFormat="1" ht="33" customHeight="1">
      <c r="B5" s="518" t="s">
        <v>458</v>
      </c>
      <c r="C5" s="519"/>
      <c r="D5" s="519"/>
      <c r="E5" s="519"/>
      <c r="F5" s="520"/>
      <c r="G5" s="354"/>
      <c r="H5" s="354"/>
    </row>
    <row r="6" spans="2:18" s="191" customFormat="1" ht="39.75" customHeight="1">
      <c r="B6" s="521" t="s">
        <v>459</v>
      </c>
      <c r="C6" s="522"/>
      <c r="D6" s="522"/>
      <c r="E6" s="522"/>
      <c r="F6" s="523"/>
      <c r="G6" s="355"/>
      <c r="H6" s="355"/>
    </row>
    <row r="7" spans="2:18" ht="26.25" customHeight="1">
      <c r="B7" s="339" t="s">
        <v>22</v>
      </c>
      <c r="C7" s="340"/>
      <c r="D7" s="341"/>
      <c r="E7" s="258" t="s">
        <v>428</v>
      </c>
      <c r="F7" s="278" t="s">
        <v>421</v>
      </c>
      <c r="G7" s="1"/>
      <c r="H7" s="1"/>
      <c r="J7" s="96"/>
      <c r="K7" s="96"/>
      <c r="L7" s="96" t="s">
        <v>50</v>
      </c>
      <c r="M7" s="96">
        <v>3</v>
      </c>
      <c r="N7" s="103">
        <v>0.4</v>
      </c>
      <c r="O7" s="96">
        <f>IF(E11&lt;3,2,1)</f>
        <v>1</v>
      </c>
      <c r="P7" s="96"/>
      <c r="Q7" s="96"/>
      <c r="R7" s="96"/>
    </row>
    <row r="8" spans="2:18" ht="24.75" customHeight="1">
      <c r="B8" s="339" t="s">
        <v>51</v>
      </c>
      <c r="C8" s="342"/>
      <c r="D8" s="343"/>
      <c r="E8" s="258" t="s">
        <v>53</v>
      </c>
      <c r="F8" s="259"/>
      <c r="G8" s="1"/>
      <c r="H8" s="1"/>
      <c r="J8" s="96"/>
      <c r="K8" s="96"/>
      <c r="L8" s="96" t="s">
        <v>53</v>
      </c>
      <c r="M8" s="96">
        <v>2</v>
      </c>
      <c r="N8" s="103">
        <v>6</v>
      </c>
      <c r="O8" s="96"/>
      <c r="P8" s="96"/>
      <c r="Q8" s="96"/>
      <c r="R8" s="96"/>
    </row>
    <row r="9" spans="2:18" ht="22.5" customHeight="1">
      <c r="B9" s="339" t="s">
        <v>66</v>
      </c>
      <c r="C9" s="344"/>
      <c r="D9" s="345"/>
      <c r="E9" s="138">
        <v>188.7</v>
      </c>
      <c r="F9" s="260" t="s">
        <v>422</v>
      </c>
      <c r="G9" s="1"/>
      <c r="H9" s="1"/>
      <c r="J9" s="96"/>
      <c r="K9" s="96"/>
      <c r="L9" s="96"/>
      <c r="M9" s="96">
        <v>1</v>
      </c>
      <c r="N9" s="103">
        <v>10</v>
      </c>
      <c r="O9" s="96"/>
      <c r="P9" s="96"/>
      <c r="Q9" s="96"/>
      <c r="R9" s="96"/>
    </row>
    <row r="10" spans="2:18" ht="23.25" customHeight="1">
      <c r="B10" s="339" t="str">
        <f>IF(E10&lt;E9,"Объем максимальной мощности не может быть меньше объема  присоединяемой мощности! Расчет неверен!","Объем максимальной мощности, кВт")</f>
        <v>Объем максимальной мощности, кВт</v>
      </c>
      <c r="C10" s="342"/>
      <c r="D10" s="343"/>
      <c r="E10" s="138">
        <v>188.7</v>
      </c>
      <c r="F10" s="260" t="s">
        <v>423</v>
      </c>
      <c r="G10" s="77"/>
      <c r="H10" s="77"/>
      <c r="I10" s="77"/>
      <c r="J10" s="97"/>
      <c r="K10" s="96"/>
      <c r="L10" s="96"/>
      <c r="M10" s="96"/>
      <c r="N10" s="96"/>
      <c r="O10" s="96"/>
      <c r="P10" s="96"/>
      <c r="Q10" s="96"/>
      <c r="R10" s="96"/>
    </row>
    <row r="11" spans="2:18" ht="22.5" customHeight="1">
      <c r="B11" s="339" t="s">
        <v>63</v>
      </c>
      <c r="C11" s="342"/>
      <c r="D11" s="343"/>
      <c r="E11" s="258" t="s">
        <v>390</v>
      </c>
      <c r="F11" s="259"/>
      <c r="G11" s="77"/>
      <c r="H11" s="77"/>
      <c r="I11" s="77"/>
      <c r="J11" s="97"/>
      <c r="K11" s="96"/>
      <c r="L11" s="96"/>
      <c r="M11" s="96"/>
      <c r="N11" s="96"/>
      <c r="O11" s="96"/>
      <c r="P11" s="96"/>
      <c r="Q11" s="96"/>
      <c r="R11" s="96"/>
    </row>
    <row r="12" spans="2:18" ht="19.5" customHeight="1">
      <c r="B12" s="346" t="s">
        <v>18</v>
      </c>
      <c r="C12" s="347"/>
      <c r="D12" s="348"/>
      <c r="E12" s="370"/>
      <c r="F12" s="261"/>
      <c r="G12" s="77"/>
      <c r="H12" s="77"/>
      <c r="I12" s="77"/>
      <c r="J12" s="97"/>
      <c r="K12" s="96"/>
      <c r="L12" s="96"/>
      <c r="M12" s="96"/>
      <c r="N12" s="96"/>
      <c r="O12" s="96"/>
      <c r="P12" s="96"/>
      <c r="Q12" s="96"/>
      <c r="R12" s="96"/>
    </row>
    <row r="13" spans="2:18" ht="27" customHeight="1">
      <c r="B13" s="339" t="s">
        <v>46</v>
      </c>
      <c r="C13" s="342"/>
      <c r="D13" s="343"/>
      <c r="E13" s="258" t="s">
        <v>50</v>
      </c>
      <c r="F13" s="151" t="s">
        <v>417</v>
      </c>
      <c r="G13" s="77"/>
      <c r="H13" s="1"/>
      <c r="I13" s="104" t="s">
        <v>52</v>
      </c>
      <c r="J13" s="96"/>
      <c r="K13" s="98">
        <v>709.27</v>
      </c>
      <c r="L13" s="98">
        <v>191</v>
      </c>
      <c r="M13" s="98">
        <v>53.23</v>
      </c>
      <c r="N13" s="99"/>
      <c r="O13" s="96"/>
      <c r="P13" s="98">
        <v>219.22</v>
      </c>
      <c r="Q13" s="96"/>
      <c r="R13" s="96"/>
    </row>
    <row r="14" spans="2:18" ht="24" customHeight="1">
      <c r="B14" s="339" t="s">
        <v>47</v>
      </c>
      <c r="C14" s="342"/>
      <c r="D14" s="343"/>
      <c r="E14" s="258" t="s">
        <v>50</v>
      </c>
      <c r="F14" s="151" t="s">
        <v>418</v>
      </c>
      <c r="G14" s="77"/>
      <c r="H14" s="1"/>
      <c r="J14" s="96"/>
      <c r="K14" s="98">
        <v>182.07</v>
      </c>
      <c r="L14" s="98">
        <v>42.88</v>
      </c>
      <c r="M14" s="98">
        <v>13.09</v>
      </c>
      <c r="N14" s="99"/>
      <c r="O14" s="96"/>
      <c r="P14" s="98">
        <v>108.88</v>
      </c>
      <c r="Q14" s="96"/>
      <c r="R14" s="96"/>
    </row>
    <row r="15" spans="2:18" ht="42" customHeight="1">
      <c r="B15" s="339" t="s">
        <v>48</v>
      </c>
      <c r="C15" s="342"/>
      <c r="D15" s="343"/>
      <c r="E15" s="258" t="s">
        <v>53</v>
      </c>
      <c r="F15" s="151" t="s">
        <v>419</v>
      </c>
      <c r="G15" s="77"/>
      <c r="H15" s="1"/>
      <c r="J15" s="96"/>
      <c r="K15" s="98">
        <v>0</v>
      </c>
      <c r="L15" s="98">
        <v>29.94</v>
      </c>
      <c r="M15" s="98">
        <v>7.39</v>
      </c>
      <c r="N15" s="99"/>
      <c r="O15" s="96"/>
      <c r="P15" s="98">
        <v>0</v>
      </c>
      <c r="Q15" s="96"/>
      <c r="R15" s="96"/>
    </row>
    <row r="16" spans="2:18" ht="26.25" customHeight="1" thickBot="1">
      <c r="B16" s="524" t="s">
        <v>49</v>
      </c>
      <c r="C16" s="525"/>
      <c r="D16" s="526"/>
      <c r="E16" s="276" t="s">
        <v>50</v>
      </c>
      <c r="F16" s="277" t="s">
        <v>420</v>
      </c>
      <c r="G16" s="77"/>
      <c r="H16" s="1"/>
      <c r="J16" s="96"/>
      <c r="K16" s="98">
        <v>313.66000000000003</v>
      </c>
      <c r="L16" s="98">
        <v>499.18</v>
      </c>
      <c r="M16" s="98">
        <v>436.29</v>
      </c>
      <c r="N16" s="99"/>
      <c r="O16" s="96"/>
      <c r="P16" s="98">
        <v>54.9</v>
      </c>
      <c r="Q16" s="96"/>
      <c r="R16" s="96"/>
    </row>
    <row r="17" spans="2:48" ht="64.5" customHeight="1">
      <c r="B17" s="349" t="s">
        <v>397</v>
      </c>
      <c r="C17" s="350"/>
      <c r="D17" s="350"/>
      <c r="E17" s="371" t="s">
        <v>395</v>
      </c>
      <c r="F17" s="372" t="s">
        <v>396</v>
      </c>
      <c r="G17" s="77"/>
      <c r="H17" s="1"/>
      <c r="J17" s="96"/>
      <c r="K17" s="149"/>
      <c r="L17" s="149"/>
      <c r="M17" s="149"/>
      <c r="N17" s="150"/>
      <c r="O17" s="96"/>
      <c r="P17" s="149"/>
      <c r="Q17" s="96"/>
      <c r="R17" s="96"/>
    </row>
    <row r="18" spans="2:48" ht="42" customHeight="1">
      <c r="B18" s="351" t="str">
        <f t="array" ref="B18:B44">INDEX(Товары,SMALL(IF((0&lt;Цены),ROW(Цены),""),ROW(Цены)-ROW('Данные для расчета'!H10))-ROW('Данные для расчета'!H10))</f>
        <v>Строительство воздушных линий</v>
      </c>
      <c r="C18" s="274"/>
      <c r="D18" s="352"/>
      <c r="E18" s="274" t="str">
        <f t="array" ref="E18:E44">INDEX(ЦенаВывод,SMALL(IF((0&lt;Цены),ROW(Цены),""),ROW(Цены)-ROW('Данные для расчета'!L10))-ROW('Данные для расчета'!L10))</f>
        <v>нет</v>
      </c>
      <c r="F18" s="170" t="str">
        <f t="array" ref="F18:F44">INDEX(Тарифы2,SMALL(IF((0&lt;Цены),ROW(Цены),""),ROW(Цены)-ROW('Данные для расчета'!R10))-ROW('Данные для расчета'!R10))</f>
        <v xml:space="preserve"> </v>
      </c>
      <c r="G18" s="77"/>
      <c r="J18" s="96"/>
      <c r="K18" s="96"/>
      <c r="L18" s="96"/>
      <c r="M18" s="100"/>
      <c r="N18" s="100"/>
      <c r="O18" s="100"/>
      <c r="P18" s="100"/>
      <c r="Q18" s="100"/>
      <c r="R18" s="100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  <row r="19" spans="2:48" s="85" customFormat="1" ht="42" customHeight="1">
      <c r="B19" s="351" t="str">
        <v>Строительство кабельных линий</v>
      </c>
      <c r="C19" s="274"/>
      <c r="D19" s="274"/>
      <c r="E19" s="274" t="str">
        <v>нет</v>
      </c>
      <c r="F19" s="171" t="str">
        <v xml:space="preserve"> </v>
      </c>
      <c r="G19" s="122"/>
      <c r="J19" s="101"/>
      <c r="K19" s="101"/>
      <c r="L19" s="101"/>
      <c r="M19" s="102"/>
      <c r="N19" s="102"/>
      <c r="O19" s="102"/>
      <c r="P19" s="102"/>
      <c r="Q19" s="102"/>
      <c r="R19" s="102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</row>
    <row r="20" spans="2:48" s="85" customFormat="1" ht="42" customHeight="1">
      <c r="B20" s="351" t="str">
        <v>Строительство подстанций</v>
      </c>
      <c r="C20" s="274"/>
      <c r="D20" s="274"/>
      <c r="E20" s="274" t="str">
        <v>нет</v>
      </c>
      <c r="F20" s="171" t="str">
        <v xml:space="preserve">  </v>
      </c>
      <c r="J20" s="101"/>
      <c r="K20" s="101"/>
      <c r="L20" s="101"/>
      <c r="M20" s="101"/>
      <c r="N20" s="101"/>
      <c r="O20" s="101"/>
      <c r="P20" s="101"/>
      <c r="Q20" s="101"/>
      <c r="R20" s="101"/>
    </row>
    <row r="21" spans="2:48" s="85" customFormat="1" ht="42" customHeight="1">
      <c r="B21" s="351" t="str">
        <v>Строительство распределительных пунктов</v>
      </c>
      <c r="C21" s="274"/>
      <c r="D21" s="274"/>
      <c r="E21" s="274" t="str">
        <v>нет</v>
      </c>
      <c r="F21" s="171" t="str">
        <v xml:space="preserve"> </v>
      </c>
      <c r="AB21" s="119"/>
      <c r="AC21" s="119"/>
      <c r="AD21" s="119"/>
      <c r="AE21" s="119"/>
      <c r="AF21" s="119"/>
      <c r="AG21" s="119"/>
      <c r="AH21" s="119"/>
      <c r="AI21" s="119"/>
    </row>
    <row r="22" spans="2:48" s="85" customFormat="1" ht="42" customHeight="1">
      <c r="B22" s="351" t="str">
        <v>Строительство пунктов секционирования</v>
      </c>
      <c r="C22" s="274"/>
      <c r="D22" s="274"/>
      <c r="E22" s="274" t="str">
        <v>нет</v>
      </c>
      <c r="F22" s="171" t="str">
        <v xml:space="preserve"> </v>
      </c>
    </row>
    <row r="23" spans="2:48" s="85" customFormat="1" ht="42" customHeight="1">
      <c r="B23" s="351" t="e">
        <v>#NUM!</v>
      </c>
      <c r="C23" s="274"/>
      <c r="D23" s="274"/>
      <c r="E23" s="274" t="e">
        <v>#NUM!</v>
      </c>
      <c r="F23" s="171" t="e">
        <v>#NUM!</v>
      </c>
    </row>
    <row r="24" spans="2:48" s="85" customFormat="1" ht="42" customHeight="1">
      <c r="B24" s="351" t="e">
        <v>#NUM!</v>
      </c>
      <c r="C24" s="274"/>
      <c r="D24" s="274"/>
      <c r="E24" s="274" t="e">
        <v>#NUM!</v>
      </c>
      <c r="F24" s="171" t="e">
        <v>#NUM!</v>
      </c>
    </row>
    <row r="25" spans="2:48" s="85" customFormat="1" ht="42" customHeight="1">
      <c r="B25" s="351" t="e">
        <v>#NUM!</v>
      </c>
      <c r="C25" s="274"/>
      <c r="D25" s="274"/>
      <c r="E25" s="274" t="e">
        <v>#NUM!</v>
      </c>
      <c r="F25" s="171" t="e">
        <v>#NUM!</v>
      </c>
    </row>
    <row r="26" spans="2:48" s="85" customFormat="1" ht="42" customHeight="1">
      <c r="B26" s="351" t="e">
        <v>#NUM!</v>
      </c>
      <c r="C26" s="274"/>
      <c r="D26" s="274"/>
      <c r="E26" s="274" t="e">
        <v>#NUM!</v>
      </c>
      <c r="F26" s="171" t="e">
        <v>#NUM!</v>
      </c>
    </row>
    <row r="27" spans="2:48" s="85" customFormat="1" ht="42" customHeight="1">
      <c r="B27" s="351" t="e">
        <v>#NUM!</v>
      </c>
      <c r="C27" s="274"/>
      <c r="D27" s="274"/>
      <c r="E27" s="274" t="e">
        <v>#NUM!</v>
      </c>
      <c r="F27" s="171" t="e">
        <v>#NUM!</v>
      </c>
      <c r="AB27" s="85">
        <f>ROUND(,2)</f>
        <v>0</v>
      </c>
    </row>
    <row r="28" spans="2:48" s="85" customFormat="1" ht="42" customHeight="1">
      <c r="B28" s="351" t="e">
        <v>#NUM!</v>
      </c>
      <c r="C28" s="274"/>
      <c r="D28" s="274"/>
      <c r="E28" s="274" t="e">
        <v>#NUM!</v>
      </c>
      <c r="F28" s="171" t="e">
        <v>#NUM!</v>
      </c>
    </row>
    <row r="29" spans="2:48" s="85" customFormat="1" ht="42" hidden="1" customHeight="1">
      <c r="B29" s="351" t="e">
        <v>#NUM!</v>
      </c>
      <c r="C29" s="274"/>
      <c r="D29" s="274"/>
      <c r="E29" s="274" t="e">
        <v>#NUM!</v>
      </c>
      <c r="F29" s="171" t="e">
        <v>#NUM!</v>
      </c>
    </row>
    <row r="30" spans="2:48" s="85" customFormat="1" ht="42" hidden="1" customHeight="1">
      <c r="B30" s="351" t="e">
        <v>#NUM!</v>
      </c>
      <c r="C30" s="274"/>
      <c r="D30" s="274"/>
      <c r="E30" s="274" t="e">
        <v>#NUM!</v>
      </c>
      <c r="F30" s="171" t="e">
        <v>#NUM!</v>
      </c>
    </row>
    <row r="31" spans="2:48" s="85" customFormat="1" ht="42" customHeight="1">
      <c r="B31" s="351" t="e">
        <v>#NUM!</v>
      </c>
      <c r="C31" s="274"/>
      <c r="D31" s="274"/>
      <c r="E31" s="274" t="e">
        <v>#NUM!</v>
      </c>
      <c r="F31" s="171" t="e">
        <v>#NUM!</v>
      </c>
    </row>
    <row r="32" spans="2:48" s="85" customFormat="1" ht="42" customHeight="1" thickBot="1">
      <c r="B32" s="353" t="e">
        <v>#NUM!</v>
      </c>
      <c r="C32" s="275"/>
      <c r="D32" s="275"/>
      <c r="E32" s="275" t="e">
        <v>#NUM!</v>
      </c>
      <c r="F32" s="172" t="e">
        <v>#NUM!</v>
      </c>
    </row>
    <row r="33" spans="2:8" s="85" customFormat="1" ht="35.1" hidden="1" customHeight="1">
      <c r="B33" s="123" t="e">
        <v>#NUM!</v>
      </c>
      <c r="C33" s="124"/>
      <c r="D33" s="124"/>
      <c r="E33" s="125" t="e">
        <v>#NUM!</v>
      </c>
      <c r="F33" s="126" t="e">
        <v>#NUM!</v>
      </c>
    </row>
    <row r="34" spans="2:8" s="85" customFormat="1" ht="35.1" hidden="1" customHeight="1">
      <c r="B34" s="82" t="e">
        <v>#NUM!</v>
      </c>
      <c r="C34" s="88"/>
      <c r="D34" s="88"/>
      <c r="E34" s="70" t="e">
        <v>#NUM!</v>
      </c>
      <c r="F34" s="95" t="e">
        <v>#NUM!</v>
      </c>
    </row>
    <row r="35" spans="2:8" s="85" customFormat="1" ht="35.1" hidden="1" customHeight="1">
      <c r="B35" s="82" t="e">
        <v>#NUM!</v>
      </c>
      <c r="C35" s="88"/>
      <c r="D35" s="88"/>
      <c r="E35" s="70" t="e">
        <v>#NUM!</v>
      </c>
      <c r="F35" s="95" t="e">
        <v>#NUM!</v>
      </c>
    </row>
    <row r="36" spans="2:8" s="85" customFormat="1" ht="35.1" hidden="1" customHeight="1">
      <c r="B36" s="82" t="e">
        <v>#NUM!</v>
      </c>
      <c r="C36" s="88"/>
      <c r="D36" s="88"/>
      <c r="E36" s="70" t="e">
        <v>#NUM!</v>
      </c>
      <c r="F36" s="95" t="e">
        <v>#NUM!</v>
      </c>
    </row>
    <row r="37" spans="2:8" s="85" customFormat="1" ht="35.1" hidden="1" customHeight="1">
      <c r="B37" s="82" t="e">
        <v>#NUM!</v>
      </c>
      <c r="C37" s="88"/>
      <c r="D37" s="88"/>
      <c r="E37" s="70" t="e">
        <v>#NUM!</v>
      </c>
      <c r="F37" s="95" t="e">
        <v>#NUM!</v>
      </c>
    </row>
    <row r="38" spans="2:8" s="85" customFormat="1" ht="35.1" hidden="1" customHeight="1">
      <c r="B38" s="82" t="e">
        <v>#NUM!</v>
      </c>
      <c r="C38" s="88"/>
      <c r="D38" s="88"/>
      <c r="E38" s="70" t="e">
        <v>#NUM!</v>
      </c>
      <c r="F38" s="95" t="e">
        <v>#NUM!</v>
      </c>
    </row>
    <row r="39" spans="2:8" s="85" customFormat="1" ht="35.1" hidden="1" customHeight="1">
      <c r="B39" s="82" t="e">
        <v>#NUM!</v>
      </c>
      <c r="C39" s="88"/>
      <c r="D39" s="88"/>
      <c r="E39" s="70" t="e">
        <v>#NUM!</v>
      </c>
      <c r="F39" s="95" t="e">
        <v>#NUM!</v>
      </c>
    </row>
    <row r="40" spans="2:8" s="85" customFormat="1" ht="35.1" hidden="1" customHeight="1">
      <c r="B40" s="82" t="e">
        <v>#NUM!</v>
      </c>
      <c r="C40" s="88"/>
      <c r="D40" s="88"/>
      <c r="E40" s="70" t="e">
        <v>#NUM!</v>
      </c>
      <c r="F40" s="95" t="e">
        <v>#NUM!</v>
      </c>
    </row>
    <row r="41" spans="2:8" s="85" customFormat="1" ht="35.1" hidden="1" customHeight="1">
      <c r="B41" s="82" t="e">
        <v>#NUM!</v>
      </c>
      <c r="C41" s="88"/>
      <c r="D41" s="88"/>
      <c r="E41" s="70" t="e">
        <v>#NUM!</v>
      </c>
      <c r="F41" s="95" t="e">
        <v>#NUM!</v>
      </c>
    </row>
    <row r="42" spans="2:8" s="85" customFormat="1" ht="35.1" hidden="1" customHeight="1">
      <c r="B42" s="82" t="e">
        <v>#NUM!</v>
      </c>
      <c r="C42" s="88"/>
      <c r="D42" s="88"/>
      <c r="E42" s="70" t="e">
        <v>#NUM!</v>
      </c>
      <c r="F42" s="95" t="e">
        <v>#NUM!</v>
      </c>
    </row>
    <row r="43" spans="2:8" s="85" customFormat="1" ht="35.1" hidden="1" customHeight="1">
      <c r="B43" s="82" t="e">
        <v>#NUM!</v>
      </c>
      <c r="C43" s="88"/>
      <c r="D43" s="88"/>
      <c r="E43" s="70" t="e">
        <v>#NUM!</v>
      </c>
      <c r="F43" s="95" t="e">
        <v>#NUM!</v>
      </c>
    </row>
    <row r="44" spans="2:8" s="85" customFormat="1" ht="35.1" hidden="1" customHeight="1">
      <c r="B44" s="82" t="e">
        <v>#NUM!</v>
      </c>
      <c r="C44" s="88"/>
      <c r="D44" s="88"/>
      <c r="E44" s="70" t="e">
        <v>#NUM!</v>
      </c>
      <c r="F44" s="95" t="e">
        <v>#NUM!</v>
      </c>
    </row>
    <row r="45" spans="2:8" hidden="1">
      <c r="B45" s="48"/>
      <c r="C45" s="48"/>
      <c r="D45" s="48"/>
      <c r="E45" s="48"/>
    </row>
    <row r="46" spans="2:8" ht="34.5" customHeight="1">
      <c r="B46" s="262" t="s">
        <v>19</v>
      </c>
      <c r="C46" s="15"/>
      <c r="D46" s="15"/>
      <c r="E46" s="15"/>
      <c r="F46" s="15"/>
      <c r="G46" s="15"/>
      <c r="H46" s="15"/>
    </row>
    <row r="47" spans="2:8" ht="24" customHeight="1" thickBot="1">
      <c r="B47" s="263" t="s">
        <v>416</v>
      </c>
      <c r="C47" s="160"/>
      <c r="D47" s="160"/>
      <c r="E47" s="160"/>
      <c r="F47" s="160"/>
      <c r="G47" s="160"/>
      <c r="H47" s="160"/>
    </row>
    <row r="48" spans="2:8" ht="11.25" hidden="1" customHeight="1">
      <c r="B48" s="140"/>
      <c r="C48" s="141"/>
      <c r="D48" s="141"/>
      <c r="E48" s="141"/>
      <c r="F48" s="141"/>
      <c r="G48" s="141"/>
      <c r="H48" s="141"/>
    </row>
    <row r="49" spans="2:13" ht="11.25" hidden="1" customHeight="1" thickBot="1">
      <c r="B49" s="140"/>
      <c r="C49" s="141"/>
      <c r="D49" s="141"/>
      <c r="E49" s="141"/>
      <c r="F49" s="141"/>
      <c r="G49" s="141"/>
      <c r="H49" s="141"/>
    </row>
    <row r="50" spans="2:13" ht="31.5" customHeight="1" thickBot="1">
      <c r="B50" s="144" t="s">
        <v>340</v>
      </c>
      <c r="E50" s="273">
        <f>ROUND((E9*E65)+(VALUE('Данные для расчета'!T2)*VALUE('Калькулятор (2)'!E82))+(VALUE('Данные для расчета'!T4)*VALUE('Калькулятор (2)'!F82))+(VALUE('Данные для расчета'!T10)*VALUE('Калькулятор (2)'!H82))+(VALUE('Данные для расчета'!T12)*VALUE('Калькулятор (2)'!H82))+(VALUE('Данные для расчета'!T14)*VALUE('Калькулятор (2)'!H82))+(VALUE('Данные для расчета'!T6)*VALUE(G82))+IF(VALUE('Данные для расчета'!T4)&gt;0,VALUE('Данные для расчета'!T8)*VALUE(F82),IF(VALUE('Данные для расчета'!T6)&gt;0,VALUE('Данные для расчета'!T8*VALUE('Калькулятор (2)'!G82)),VALUE('Данные для расчета'!T8)*VALUE(F82))),2)</f>
        <v>131031.39</v>
      </c>
      <c r="F50" s="145" t="s">
        <v>393</v>
      </c>
      <c r="G50" s="273">
        <f>E50*18%</f>
        <v>23585.6502</v>
      </c>
      <c r="H50" s="146"/>
      <c r="I50" s="106">
        <f>E50+G50</f>
        <v>154617.04019999999</v>
      </c>
      <c r="J50" s="142"/>
    </row>
    <row r="51" spans="2:13" ht="15" customHeight="1" thickBot="1">
      <c r="B51" s="148"/>
      <c r="C51" s="146"/>
      <c r="D51" s="146"/>
      <c r="E51" s="146"/>
      <c r="F51" s="146"/>
      <c r="G51" s="17"/>
      <c r="H51" s="142"/>
    </row>
    <row r="52" spans="2:13" ht="29.25" customHeight="1" thickBot="1">
      <c r="B52" s="144" t="s">
        <v>341</v>
      </c>
      <c r="E52" s="273">
        <f>E50+G50</f>
        <v>154617.04019999999</v>
      </c>
      <c r="F52" s="161" t="s">
        <v>17</v>
      </c>
      <c r="G52" s="147"/>
      <c r="H52" s="146"/>
      <c r="I52" s="17"/>
      <c r="J52" s="142"/>
    </row>
    <row r="53" spans="2:13" ht="20.25" hidden="1" customHeight="1" thickBot="1">
      <c r="B53" s="16" t="s">
        <v>25</v>
      </c>
      <c r="C53" s="71" t="e">
        <f>ROUND(E9*E80+D94*(D89*#REF!+D93*#REF!)+E94*(E89*#REF!+E93*#REF!)+F94*(F89*#REF!+F93*#REF!)+G94*(G89*#REF!+G93*#REF!)+H94*(H93+H89)*E9*O7+I94*(I93+I89)*E9+J94*(J93+J89)*E9,2)</f>
        <v>#REF!</v>
      </c>
      <c r="D53" s="17" t="s">
        <v>24</v>
      </c>
      <c r="E53" s="71" t="e">
        <f>C53*18%</f>
        <v>#REF!</v>
      </c>
      <c r="F53" s="17" t="s">
        <v>23</v>
      </c>
      <c r="G53" s="71" t="e">
        <f>C53+E53</f>
        <v>#REF!</v>
      </c>
      <c r="H53" s="142" t="s">
        <v>17</v>
      </c>
    </row>
    <row r="54" spans="2:13" ht="10.5" hidden="1" customHeight="1">
      <c r="B54" s="143"/>
      <c r="C54" s="142"/>
      <c r="D54" s="142"/>
      <c r="E54" s="142"/>
      <c r="F54" s="142"/>
      <c r="G54" s="142"/>
      <c r="H54" s="142"/>
    </row>
    <row r="55" spans="2:13" ht="18.75" customHeight="1">
      <c r="B55" s="536"/>
      <c r="C55" s="536"/>
      <c r="D55" s="536"/>
      <c r="E55" s="536"/>
      <c r="F55" s="536"/>
      <c r="G55" s="19"/>
      <c r="H55" s="19"/>
      <c r="I55" s="19"/>
      <c r="J55" s="19"/>
      <c r="K55" s="19"/>
    </row>
    <row r="56" spans="2:13" ht="18" customHeight="1" thickBot="1">
      <c r="B56" s="159" t="s">
        <v>432</v>
      </c>
      <c r="C56" s="159"/>
      <c r="D56" s="159"/>
      <c r="E56" s="19"/>
      <c r="F56" s="127"/>
      <c r="G56" s="543" t="s">
        <v>394</v>
      </c>
      <c r="H56" s="543"/>
      <c r="I56" s="19"/>
      <c r="J56" s="19"/>
      <c r="K56" s="19"/>
    </row>
    <row r="57" spans="2:13" ht="75.75" customHeight="1">
      <c r="B57" s="549" t="s">
        <v>408</v>
      </c>
      <c r="C57" s="152"/>
      <c r="D57" s="152"/>
      <c r="E57" s="530" t="s">
        <v>33</v>
      </c>
      <c r="F57" s="530"/>
      <c r="G57" s="530"/>
      <c r="H57" s="131" t="s">
        <v>400</v>
      </c>
      <c r="I57" s="93"/>
      <c r="J57" s="19"/>
      <c r="K57" s="19"/>
      <c r="L57" s="19"/>
      <c r="M57" s="19"/>
    </row>
    <row r="58" spans="2:13" ht="18.75">
      <c r="B58" s="550"/>
      <c r="C58" s="153"/>
      <c r="D58" s="153"/>
      <c r="E58" s="537" t="s">
        <v>28</v>
      </c>
      <c r="F58" s="538"/>
      <c r="G58" s="538"/>
      <c r="H58" s="539"/>
      <c r="I58" s="94"/>
      <c r="J58" s="19"/>
      <c r="K58" s="19"/>
      <c r="L58" s="19"/>
      <c r="M58" s="19"/>
    </row>
    <row r="59" spans="2:13" ht="37.5" customHeight="1">
      <c r="B59" s="550"/>
      <c r="C59" s="154"/>
      <c r="D59" s="154"/>
      <c r="E59" s="121" t="s">
        <v>26</v>
      </c>
      <c r="F59" s="121" t="s">
        <v>27</v>
      </c>
      <c r="G59" s="121" t="s">
        <v>392</v>
      </c>
      <c r="H59" s="151" t="s">
        <v>398</v>
      </c>
      <c r="I59" s="19"/>
      <c r="J59" s="19"/>
      <c r="K59" s="19"/>
      <c r="L59" s="19"/>
      <c r="M59" s="19"/>
    </row>
    <row r="60" spans="2:13" s="191" customFormat="1" ht="18.75">
      <c r="B60" s="360" t="s">
        <v>424</v>
      </c>
      <c r="C60" s="361"/>
      <c r="D60" s="361"/>
      <c r="E60" s="362">
        <f>E61+E62+E63+E64</f>
        <v>694.39</v>
      </c>
      <c r="F60" s="363">
        <f>F61+F62+F63+F64</f>
        <v>772.41</v>
      </c>
      <c r="G60" s="363">
        <f>G61+G62+G63+G64</f>
        <v>772.41</v>
      </c>
      <c r="H60" s="364">
        <f>H61+H62+H63+H64</f>
        <v>772.41</v>
      </c>
      <c r="I60" s="190"/>
      <c r="J60" s="190"/>
      <c r="K60" s="190"/>
      <c r="L60" s="190"/>
      <c r="M60" s="190"/>
    </row>
    <row r="61" spans="2:13" s="191" customFormat="1" ht="25.5" customHeight="1">
      <c r="B61" s="188" t="s">
        <v>409</v>
      </c>
      <c r="C61" s="189"/>
      <c r="D61" s="189"/>
      <c r="E61" s="132">
        <v>292.06</v>
      </c>
      <c r="F61" s="132">
        <v>292.06</v>
      </c>
      <c r="G61" s="132">
        <v>292.06</v>
      </c>
      <c r="H61" s="132">
        <v>292.06</v>
      </c>
      <c r="I61" s="190"/>
      <c r="J61" s="190"/>
      <c r="K61" s="190"/>
      <c r="L61" s="190"/>
      <c r="M61" s="190"/>
    </row>
    <row r="62" spans="2:13" ht="18.75">
      <c r="B62" s="130" t="s">
        <v>410</v>
      </c>
      <c r="C62" s="155"/>
      <c r="D62" s="155"/>
      <c r="E62" s="132">
        <v>184.34</v>
      </c>
      <c r="F62" s="132">
        <v>184.34</v>
      </c>
      <c r="G62" s="132">
        <v>184.34</v>
      </c>
      <c r="H62" s="132">
        <v>184.34</v>
      </c>
      <c r="I62" s="19"/>
      <c r="J62" s="19"/>
      <c r="K62" s="19"/>
      <c r="L62" s="19"/>
      <c r="M62" s="19"/>
    </row>
    <row r="63" spans="2:13" ht="31.5">
      <c r="B63" s="130" t="s">
        <v>411</v>
      </c>
      <c r="C63" s="155"/>
      <c r="D63" s="155"/>
      <c r="E63" s="132">
        <v>0</v>
      </c>
      <c r="F63" s="132">
        <v>78.02</v>
      </c>
      <c r="G63" s="132">
        <v>78.02</v>
      </c>
      <c r="H63" s="132">
        <v>78.02</v>
      </c>
      <c r="I63" s="19"/>
      <c r="J63" s="19"/>
      <c r="K63" s="19"/>
      <c r="L63" s="19"/>
      <c r="M63" s="19"/>
    </row>
    <row r="64" spans="2:13" ht="32.25" thickBot="1">
      <c r="B64" s="336" t="s">
        <v>412</v>
      </c>
      <c r="C64" s="337"/>
      <c r="D64" s="337"/>
      <c r="E64" s="338">
        <v>217.99</v>
      </c>
      <c r="F64" s="338">
        <v>217.99</v>
      </c>
      <c r="G64" s="338">
        <v>217.99</v>
      </c>
      <c r="H64" s="338">
        <v>217.99</v>
      </c>
      <c r="I64" s="19"/>
      <c r="J64" s="19"/>
      <c r="K64" s="19"/>
      <c r="L64" s="19"/>
      <c r="M64" s="19"/>
    </row>
    <row r="65" spans="2:13" ht="19.5" thickBot="1">
      <c r="B65" s="334" t="s">
        <v>16</v>
      </c>
      <c r="C65" s="335"/>
      <c r="D65" s="335"/>
      <c r="E65" s="545">
        <f>IF(E8="да",SUMIF(E13:E16,"да",H61:H64),IF(E9&lt;=150,SUMIF(E13:E16,"да",E61:E64),IF(E9&lt;=670,SUMIF(E13:E16,"да",F61:F64),IF(E9&gt;670,SUMIF(E13:E16,"да",G61:G64)))))</f>
        <v>694.39</v>
      </c>
      <c r="F65" s="546"/>
      <c r="G65" s="546"/>
      <c r="H65" s="547"/>
      <c r="I65" s="19"/>
      <c r="J65" s="19"/>
      <c r="K65" s="19"/>
      <c r="L65" s="19"/>
      <c r="M65" s="19"/>
    </row>
    <row r="66" spans="2:13" ht="16.5" thickBot="1">
      <c r="B66" s="92"/>
      <c r="C66" s="92"/>
      <c r="D66" s="92"/>
      <c r="E66" s="19"/>
      <c r="F66" s="19"/>
      <c r="G66" s="19"/>
      <c r="H66" s="19"/>
      <c r="I66" s="19"/>
      <c r="J66" s="19"/>
      <c r="K66" s="19"/>
      <c r="L66" s="19"/>
      <c r="M66" s="19"/>
    </row>
    <row r="67" spans="2:13" ht="16.5" hidden="1" thickBot="1">
      <c r="B67" s="92"/>
      <c r="C67" s="92"/>
      <c r="D67" s="92"/>
      <c r="E67" s="19"/>
      <c r="F67" s="19"/>
      <c r="G67" s="19"/>
      <c r="H67" s="19"/>
      <c r="I67" s="19"/>
      <c r="J67" s="19"/>
      <c r="K67" s="19"/>
      <c r="L67" s="19"/>
      <c r="M67" s="19"/>
    </row>
    <row r="68" spans="2:13" ht="16.5" hidden="1" thickBot="1">
      <c r="B68" s="92"/>
      <c r="C68" s="92"/>
      <c r="D68" s="92"/>
      <c r="E68" s="19"/>
      <c r="F68" s="19"/>
      <c r="G68" s="19"/>
      <c r="H68" s="19"/>
      <c r="I68" s="19"/>
      <c r="J68" s="19"/>
      <c r="K68" s="19"/>
      <c r="L68" s="19"/>
      <c r="M68" s="19"/>
    </row>
    <row r="69" spans="2:13" ht="16.5" hidden="1" thickBot="1">
      <c r="B69" s="92"/>
      <c r="C69" s="92"/>
      <c r="D69" s="92"/>
      <c r="E69" s="19"/>
      <c r="F69" s="19"/>
      <c r="G69" s="19"/>
      <c r="H69" s="19"/>
      <c r="I69" s="19"/>
      <c r="J69" s="19"/>
      <c r="K69" s="19"/>
      <c r="L69" s="19"/>
      <c r="M69" s="19"/>
    </row>
    <row r="70" spans="2:13" ht="16.5" hidden="1" thickBot="1">
      <c r="B70" s="391"/>
      <c r="C70" s="391"/>
      <c r="D70" s="391"/>
      <c r="E70" s="19"/>
      <c r="F70" s="19"/>
      <c r="G70" s="19"/>
      <c r="H70" s="19"/>
      <c r="I70" s="19"/>
      <c r="J70" s="19"/>
      <c r="K70" s="19"/>
      <c r="L70" s="19"/>
      <c r="M70" s="19"/>
    </row>
    <row r="71" spans="2:13" ht="15.75" hidden="1" thickBot="1">
      <c r="B71" s="20"/>
      <c r="C71" s="20"/>
      <c r="D71" s="20"/>
      <c r="E71" s="19"/>
      <c r="F71" s="21" t="s">
        <v>55</v>
      </c>
      <c r="G71" s="12" t="s">
        <v>29</v>
      </c>
      <c r="H71" s="12" t="s">
        <v>30</v>
      </c>
      <c r="I71" s="12" t="s">
        <v>31</v>
      </c>
      <c r="J71" s="12" t="s">
        <v>32</v>
      </c>
      <c r="K71" s="19"/>
      <c r="L71" s="19"/>
      <c r="M71" s="19"/>
    </row>
    <row r="72" spans="2:13" ht="61.5" hidden="1" customHeight="1">
      <c r="B72" s="22" t="s">
        <v>337</v>
      </c>
      <c r="C72" s="22"/>
      <c r="D72" s="22"/>
      <c r="E72" s="23" t="s">
        <v>3</v>
      </c>
      <c r="F72" s="23" t="s">
        <v>3</v>
      </c>
      <c r="G72" s="23" t="s">
        <v>3</v>
      </c>
      <c r="H72" s="23" t="s">
        <v>3</v>
      </c>
      <c r="I72" s="23" t="s">
        <v>3</v>
      </c>
      <c r="J72" s="19"/>
      <c r="K72" s="19"/>
      <c r="L72" s="19"/>
    </row>
    <row r="73" spans="2:13" ht="16.5" hidden="1" thickBot="1">
      <c r="B73" s="78" t="s">
        <v>33</v>
      </c>
      <c r="C73" s="79"/>
      <c r="D73" s="79"/>
      <c r="E73" s="79"/>
      <c r="F73" s="79"/>
      <c r="G73" s="79"/>
      <c r="H73" s="79"/>
      <c r="I73" s="80"/>
      <c r="J73" s="19"/>
      <c r="K73" s="19"/>
      <c r="L73" s="19"/>
    </row>
    <row r="74" spans="2:13" ht="16.5" hidden="1" thickBot="1">
      <c r="B74" s="76" t="s">
        <v>28</v>
      </c>
      <c r="C74" s="156"/>
      <c r="D74" s="156"/>
      <c r="E74" s="3"/>
      <c r="F74" s="3"/>
      <c r="G74" s="3"/>
      <c r="H74" s="3"/>
      <c r="I74" s="4"/>
      <c r="J74" s="19"/>
      <c r="K74" s="19"/>
      <c r="L74" s="19"/>
    </row>
    <row r="75" spans="2:13" ht="16.5" hidden="1" thickBot="1">
      <c r="B75" s="81" t="s">
        <v>26</v>
      </c>
      <c r="C75" s="81"/>
      <c r="D75" s="81"/>
      <c r="E75" s="25">
        <v>1205</v>
      </c>
      <c r="F75" s="26">
        <v>709.27</v>
      </c>
      <c r="G75" s="26">
        <v>182.07</v>
      </c>
      <c r="H75" s="26">
        <v>0</v>
      </c>
      <c r="I75" s="26">
        <v>313.66000000000003</v>
      </c>
      <c r="J75" s="19"/>
      <c r="K75" s="19"/>
      <c r="L75" s="19"/>
    </row>
    <row r="76" spans="2:13" ht="16.5" hidden="1" thickBot="1">
      <c r="B76" s="81" t="s">
        <v>27</v>
      </c>
      <c r="C76" s="81"/>
      <c r="D76" s="81"/>
      <c r="E76" s="25">
        <v>763</v>
      </c>
      <c r="F76" s="26">
        <v>191</v>
      </c>
      <c r="G76" s="26">
        <v>42.88</v>
      </c>
      <c r="H76" s="26">
        <v>29.94</v>
      </c>
      <c r="I76" s="26">
        <v>499.18</v>
      </c>
      <c r="J76" s="19"/>
      <c r="K76" s="19"/>
      <c r="L76" s="19"/>
    </row>
    <row r="77" spans="2:13" ht="27" hidden="1" customHeight="1">
      <c r="B77" s="81" t="s">
        <v>27</v>
      </c>
      <c r="C77" s="81"/>
      <c r="D77" s="81"/>
      <c r="E77" s="25">
        <v>510</v>
      </c>
      <c r="F77" s="26">
        <v>53.23</v>
      </c>
      <c r="G77" s="26">
        <v>13.09</v>
      </c>
      <c r="H77" s="26">
        <v>7.39</v>
      </c>
      <c r="I77" s="26">
        <v>436.29</v>
      </c>
      <c r="J77" s="19"/>
      <c r="K77" s="19"/>
      <c r="L77" s="19"/>
    </row>
    <row r="78" spans="2:13" ht="16.5" hidden="1" thickBot="1">
      <c r="B78" s="78" t="s">
        <v>34</v>
      </c>
      <c r="C78" s="79"/>
      <c r="D78" s="79"/>
      <c r="E78" s="79"/>
      <c r="F78" s="79"/>
      <c r="G78" s="79"/>
      <c r="H78" s="79"/>
      <c r="I78" s="80"/>
      <c r="J78" s="19"/>
      <c r="K78" s="19"/>
      <c r="L78" s="19"/>
    </row>
    <row r="79" spans="2:13" ht="16.5" hidden="1" thickBot="1">
      <c r="B79" s="22" t="s">
        <v>28</v>
      </c>
      <c r="C79" s="22"/>
      <c r="D79" s="22"/>
      <c r="E79" s="27">
        <v>383</v>
      </c>
      <c r="F79" s="28">
        <v>219.22</v>
      </c>
      <c r="G79" s="28">
        <v>108.88</v>
      </c>
      <c r="H79" s="28">
        <v>0</v>
      </c>
      <c r="I79" s="28">
        <v>54.9</v>
      </c>
      <c r="J79" s="19"/>
      <c r="K79" s="19"/>
      <c r="L79" s="19"/>
    </row>
    <row r="80" spans="2:13" ht="19.5" hidden="1" customHeight="1">
      <c r="B80" s="128" t="s">
        <v>16</v>
      </c>
      <c r="C80" s="128"/>
      <c r="D80" s="128"/>
      <c r="E80" s="129">
        <f>IF(E8="да",SUMIF(E13:E16,"да",P13:P16),IF(E9&lt;=150,SUMIF(E13:E16,"да",K13:K16),IF(E9&lt;=670,SUMIF(E13:E16,"да",L13:L16),IF(E9&gt;670,SUMIF(E13:E16,"да",M13:M16)))))</f>
        <v>733.06</v>
      </c>
      <c r="F80" s="29"/>
      <c r="G80" s="30"/>
      <c r="H80" s="30"/>
      <c r="I80" s="30"/>
      <c r="J80" s="19"/>
      <c r="K80" s="19"/>
      <c r="L80" s="19"/>
    </row>
    <row r="81" spans="2:32" ht="20.25" customHeight="1">
      <c r="B81" s="534" t="s">
        <v>431</v>
      </c>
      <c r="C81" s="157"/>
      <c r="D81" s="157"/>
      <c r="E81" s="133" t="s">
        <v>327</v>
      </c>
      <c r="F81" s="133" t="s">
        <v>406</v>
      </c>
      <c r="G81" s="133" t="s">
        <v>407</v>
      </c>
      <c r="H81" s="134" t="s">
        <v>413</v>
      </c>
      <c r="I81" s="19"/>
    </row>
    <row r="82" spans="2:32" ht="20.25" customHeight="1" thickBot="1">
      <c r="B82" s="535"/>
      <c r="C82" s="158"/>
      <c r="D82" s="158"/>
      <c r="E82" s="135">
        <v>3.84</v>
      </c>
      <c r="F82" s="136">
        <v>4.46</v>
      </c>
      <c r="G82" s="136">
        <v>4.28</v>
      </c>
      <c r="H82" s="137">
        <v>5.73</v>
      </c>
      <c r="I82" s="19"/>
    </row>
    <row r="83" spans="2:32" ht="22.5" customHeight="1">
      <c r="B83" s="5"/>
      <c r="C83" s="31"/>
      <c r="D83" s="21"/>
      <c r="E83" s="333"/>
      <c r="F83" s="333"/>
      <c r="G83" s="333"/>
      <c r="H83" s="333"/>
      <c r="I83" s="19"/>
      <c r="J83" s="19"/>
      <c r="K83" s="19"/>
      <c r="AF83" s="104"/>
    </row>
    <row r="84" spans="2:32" hidden="1">
      <c r="B84" s="20"/>
      <c r="C84" s="19"/>
      <c r="D84" s="19" t="s">
        <v>42</v>
      </c>
      <c r="E84" s="19" t="s">
        <v>43</v>
      </c>
      <c r="F84" s="19" t="s">
        <v>0</v>
      </c>
      <c r="G84" s="19" t="s">
        <v>1</v>
      </c>
      <c r="H84" s="19" t="s">
        <v>40</v>
      </c>
      <c r="I84" s="19" t="s">
        <v>61</v>
      </c>
      <c r="J84" s="32" t="s">
        <v>62</v>
      </c>
      <c r="AF84" s="104"/>
    </row>
    <row r="85" spans="2:32" ht="87" hidden="1" customHeight="1">
      <c r="B85" s="22" t="s">
        <v>2</v>
      </c>
      <c r="C85" s="23" t="s">
        <v>54</v>
      </c>
      <c r="D85" s="23" t="s">
        <v>4</v>
      </c>
      <c r="E85" s="23" t="s">
        <v>4</v>
      </c>
      <c r="F85" s="23" t="s">
        <v>4</v>
      </c>
      <c r="G85" s="23" t="s">
        <v>4</v>
      </c>
      <c r="H85" s="23" t="s">
        <v>3</v>
      </c>
      <c r="I85" s="23" t="s">
        <v>3</v>
      </c>
      <c r="J85" s="33" t="s">
        <v>3</v>
      </c>
      <c r="K85" s="34"/>
      <c r="L85" s="34"/>
      <c r="AF85" s="104"/>
    </row>
    <row r="86" spans="2:32" ht="15.75" hidden="1">
      <c r="B86" s="527">
        <v>0.4</v>
      </c>
      <c r="C86" s="24" t="s">
        <v>26</v>
      </c>
      <c r="D86" s="26">
        <v>190328</v>
      </c>
      <c r="E86" s="26">
        <v>117522</v>
      </c>
      <c r="F86" s="26">
        <v>241263</v>
      </c>
      <c r="G86" s="26">
        <v>1700110</v>
      </c>
      <c r="H86" s="26">
        <v>0</v>
      </c>
      <c r="I86" s="26">
        <v>630</v>
      </c>
      <c r="J86" s="35">
        <v>1933.36</v>
      </c>
      <c r="K86" s="36"/>
      <c r="L86" s="36"/>
      <c r="AF86" s="104"/>
    </row>
    <row r="87" spans="2:32" ht="31.5" hidden="1">
      <c r="B87" s="528"/>
      <c r="C87" s="24" t="s">
        <v>60</v>
      </c>
      <c r="D87" s="26">
        <v>196224</v>
      </c>
      <c r="E87" s="26">
        <v>124608</v>
      </c>
      <c r="F87" s="26">
        <v>264320</v>
      </c>
      <c r="G87" s="26">
        <v>1730626.4</v>
      </c>
      <c r="H87" s="26">
        <v>0</v>
      </c>
      <c r="I87" s="26">
        <v>428</v>
      </c>
      <c r="J87" s="35">
        <v>1347.42</v>
      </c>
      <c r="K87" s="36"/>
      <c r="L87" s="36"/>
      <c r="AF87" s="104"/>
    </row>
    <row r="88" spans="2:32" ht="15.75" hidden="1">
      <c r="B88" s="528"/>
      <c r="C88" s="23" t="s">
        <v>7</v>
      </c>
      <c r="D88" s="26">
        <v>217789</v>
      </c>
      <c r="E88" s="26">
        <v>142520</v>
      </c>
      <c r="F88" s="26">
        <v>264320</v>
      </c>
      <c r="G88" s="26">
        <v>1930780</v>
      </c>
      <c r="H88" s="26">
        <v>0</v>
      </c>
      <c r="I88" s="26">
        <v>380</v>
      </c>
      <c r="J88" s="35">
        <v>1152.52</v>
      </c>
      <c r="K88" s="36"/>
      <c r="L88" s="36"/>
      <c r="AF88" s="104"/>
    </row>
    <row r="89" spans="2:32" ht="15.75" hidden="1">
      <c r="B89" s="540" t="s">
        <v>16</v>
      </c>
      <c r="C89" s="541"/>
      <c r="D89" s="37">
        <f>IF(OR(E10&gt;150,E10="",E10=0),IF(E7&gt;1,0,IF(#REF!=0,0,IF(E9&lt;=150,D86,IF(E9&lt;=670,D87,D88)))),(IF(E7&gt;1,0,IF(#REF!=0,0,IF(E9&lt;=150,D86,IF(E9&lt;=670,D87,D88)))))/2)</f>
        <v>0</v>
      </c>
      <c r="E89" s="37">
        <f>IF(OR(E10&gt;150,E10="",E10=0),IF(E7&gt;1,0,IF(#REF!=0,0,IF(E9&lt;=150,E86,IF(E9&lt;=670,E87,E88)))),(IF(E7&gt;1,0,IF(#REF!=0,0,IF(E9&lt;=150,E86,IF(E9&lt;=670,E87,E88)))))/2)</f>
        <v>0</v>
      </c>
      <c r="F89" s="37">
        <f>IF(OR(E10&gt;150,E10="",E10=0),IF(E7&gt;1,0,IF(#REF!=0,0,IF(E9&lt;=150,F86,IF(E9&lt;=670,F87,F88)))),(IF(E7&gt;1,0,IF(#REF!=0,0,IF(E9&lt;=150,F86,IF(E9&lt;=670,F87,F88)))))/2)</f>
        <v>0</v>
      </c>
      <c r="G89" s="37">
        <f>IF(OR(E10&gt;150,E10="",E10=0),IF(E7&gt;1,0,IF(#REF!=0,0,IF(E9&lt;=150,G86,IF(E9&lt;=670,G87,G88)))),(IF(E7&gt;1,0,IF(#REF!=0,0,IF(E9&lt;=150,G86,IF(E9&lt;=670,G87,G88)))))/2)</f>
        <v>0</v>
      </c>
      <c r="H89" s="37">
        <v>0</v>
      </c>
      <c r="I89" s="37">
        <f>IF(OR(E10&gt;150,E10="",E10=0),IF(E7&gt;1,0,IF(E11&lt;3,0,IF(#REF!="нет",0,IF(E9&lt;=150,I86,IF(E9&lt;=670,I87,I88))))),(IF(E7&gt;1,0,IF(E11&lt;3,0,IF(#REF!="нет",0,IF(E9&lt;=150,I86,IF(E9&lt;=670,I87,I88))))))/2)</f>
        <v>0</v>
      </c>
      <c r="J89" s="37">
        <f>IF(OR(E10&gt;150,E10="",E10=0),IF(E7&gt;1,0,IF(E11=3,0,IF(#REF!="нет",0, IF(E9&lt;=150,J86,IF(E9&lt;=670,J87,J88))))),(IF(E7&gt;1,0,IF(E11=3,0,IF(#REF!="нет",0, IF(E9&lt;=150,J86,IF(E9&lt;=670,J87,J88))))))/2)</f>
        <v>0</v>
      </c>
      <c r="K89" s="34"/>
      <c r="L89" s="34"/>
      <c r="AF89" s="104"/>
    </row>
    <row r="90" spans="2:32" ht="15.75" hidden="1">
      <c r="B90" s="527" t="s">
        <v>8</v>
      </c>
      <c r="C90" s="23" t="s">
        <v>5</v>
      </c>
      <c r="D90" s="26">
        <v>218914</v>
      </c>
      <c r="E90" s="26">
        <v>133795</v>
      </c>
      <c r="F90" s="26">
        <v>389165</v>
      </c>
      <c r="G90" s="26">
        <v>1853961.3</v>
      </c>
      <c r="H90" s="26">
        <v>185.75</v>
      </c>
      <c r="I90" s="26">
        <v>630</v>
      </c>
      <c r="J90" s="35">
        <v>1933.36</v>
      </c>
      <c r="K90" s="36"/>
      <c r="L90" s="36"/>
      <c r="AF90" s="104"/>
    </row>
    <row r="91" spans="2:32" ht="31.5" hidden="1">
      <c r="B91" s="528"/>
      <c r="C91" s="23" t="s">
        <v>6</v>
      </c>
      <c r="D91" s="26">
        <v>226463</v>
      </c>
      <c r="E91" s="26">
        <v>141533</v>
      </c>
      <c r="F91" s="26">
        <v>446494</v>
      </c>
      <c r="G91" s="26">
        <v>1980916.95</v>
      </c>
      <c r="H91" s="26">
        <v>185.75</v>
      </c>
      <c r="I91" s="26">
        <v>428</v>
      </c>
      <c r="J91" s="35">
        <v>1374.42</v>
      </c>
      <c r="K91" s="36"/>
      <c r="L91" s="36"/>
      <c r="AF91" s="104"/>
    </row>
    <row r="92" spans="2:32" ht="15.75" hidden="1">
      <c r="B92" s="548"/>
      <c r="C92" s="23" t="s">
        <v>7</v>
      </c>
      <c r="D92" s="26">
        <v>281223</v>
      </c>
      <c r="E92" s="26">
        <v>190663</v>
      </c>
      <c r="F92" s="26">
        <v>511647</v>
      </c>
      <c r="G92" s="26">
        <v>2489399.9500000002</v>
      </c>
      <c r="H92" s="26">
        <v>185.75</v>
      </c>
      <c r="I92" s="26">
        <v>380</v>
      </c>
      <c r="J92" s="35">
        <v>1152.52</v>
      </c>
      <c r="K92" s="36"/>
      <c r="L92" s="36"/>
      <c r="AF92" s="104"/>
    </row>
    <row r="93" spans="2:32" ht="15.75" hidden="1">
      <c r="B93" s="540" t="s">
        <v>16</v>
      </c>
      <c r="C93" s="541"/>
      <c r="D93" s="37" t="e">
        <f>IF(OR(E10&gt;150,E10="",E10=0),IF(#REF!=0,0,IF(E9&lt;=150,D90,IF(E9&lt;=670,D91,D92))),(IF(#REF!=0,0,IF(E9&lt;=150,D90,IF(E9&lt;=670,D91,D92))))/2)</f>
        <v>#REF!</v>
      </c>
      <c r="E93" s="37" t="e">
        <f>IF(OR(E10&gt;150,E10="",E10=0),IF(#REF!=0,0,IF(E9&lt;=150,E90,IF(E9&lt;=670,E91,E92))),(IF(#REF!=0,0,IF(E9&lt;=150,E90,IF(E9&lt;=670,E91,E92))))/2)</f>
        <v>#REF!</v>
      </c>
      <c r="F93" s="37" t="e">
        <f>IF(OR(E10&gt;150,E10="",E10=0),IF(#REF!=0,0,IF(E9&lt;=150,F90,IF(E9&lt;=670,F91,F92))),(IF(#REF!=0,0,IF(E9&lt;=150,F90,IF(E9&lt;=670,F91,F92))))/2)</f>
        <v>#REF!</v>
      </c>
      <c r="G93" s="37" t="e">
        <f>IF(OR(E10&gt;150,E10="",E10=0),IF(#REF!=0,0,IF(E9&lt;=150,G90,IF(E9&lt;=670,G91,G92))),(IF(#REF!=0,0,IF(E9&lt;=150,G90,IF(E9&lt;=670,G91,G92))))/2)</f>
        <v>#REF!</v>
      </c>
      <c r="H93" s="37" t="e">
        <f>IF(OR(E10&gt;150,E10="",E10=0),IF(#REF!="да",IF(E9&lt;=150,H90,IF(E9&lt;=670,H91,H92)),0),(IF(#REF!="да",IF(E9&lt;=150,H90,IF(E9&lt;=670,H91,H92)),0))/2)</f>
        <v>#REF!</v>
      </c>
      <c r="I93" s="37" t="e">
        <f>IF(OR(E10&gt;150,E10="",E10=0),IF(E7&lt;1,0,IF(E11&lt;3,0,IF(#REF!="нет",0,IF(E9&lt;=150,I90,IF(E9&lt;=670,I91,I92))))),(IF(E7&lt;1,0,IF(E11&lt;3,0,IF(#REF!="нет",0,IF(E9&lt;=150,I90,IF(E9&lt;=670,I91,I92))))))/2)</f>
        <v>#REF!</v>
      </c>
      <c r="J93" s="37" t="e">
        <f>IF(OR(E10&gt;150,E10="",E10=0),IF(E7&lt;1,0,IF(E11=3,0,IF(#REF!="нет",0,IF(E9&lt;=150,J90,IF(E9&lt;=670,J91,J92))))),(IF(E7&lt;1,0,IF(E11=3,0,IF(#REF!="нет",0,IF(E9&lt;=150,J90,IF(E9&lt;=670,J91,J92))))))/2)</f>
        <v>#REF!</v>
      </c>
      <c r="K93" s="34"/>
      <c r="L93" s="34"/>
      <c r="AF93" s="104"/>
    </row>
    <row r="94" spans="2:32" ht="82.5" hidden="1" customHeight="1">
      <c r="B94" s="38" t="s">
        <v>13</v>
      </c>
      <c r="C94" s="6" t="s">
        <v>44</v>
      </c>
      <c r="D94" s="39">
        <v>3.77</v>
      </c>
      <c r="E94" s="39">
        <v>3.77</v>
      </c>
      <c r="F94" s="40">
        <v>4.45</v>
      </c>
      <c r="G94" s="40">
        <v>4.45</v>
      </c>
      <c r="H94" s="40">
        <v>5.63</v>
      </c>
      <c r="I94" s="40">
        <v>5.63</v>
      </c>
      <c r="J94" s="40">
        <v>5.63</v>
      </c>
      <c r="AF94" s="104"/>
    </row>
    <row r="95" spans="2:32" ht="15.75" hidden="1">
      <c r="B95" s="41" t="s">
        <v>9</v>
      </c>
      <c r="C95" s="42"/>
      <c r="D95" s="42"/>
      <c r="E95" s="42"/>
      <c r="F95" s="42"/>
      <c r="G95" s="42"/>
      <c r="H95" s="42"/>
      <c r="I95" s="42"/>
      <c r="J95" s="42"/>
      <c r="K95" s="42"/>
      <c r="AF95" s="104"/>
    </row>
    <row r="96" spans="2:32" ht="48" hidden="1" customHeight="1">
      <c r="B96" s="41" t="s">
        <v>55</v>
      </c>
      <c r="C96" s="529" t="s">
        <v>35</v>
      </c>
      <c r="D96" s="529"/>
      <c r="E96" s="529"/>
      <c r="F96" s="529"/>
      <c r="G96" s="529"/>
      <c r="H96" s="529"/>
      <c r="I96" s="42"/>
      <c r="J96" s="42"/>
      <c r="K96" s="42"/>
      <c r="AF96" s="104"/>
    </row>
    <row r="97" spans="2:32" ht="18.75" hidden="1" customHeight="1">
      <c r="B97" s="43" t="s">
        <v>56</v>
      </c>
      <c r="C97" s="529" t="s">
        <v>36</v>
      </c>
      <c r="D97" s="529"/>
      <c r="E97" s="529"/>
      <c r="F97" s="529"/>
      <c r="G97" s="529"/>
      <c r="H97" s="529"/>
      <c r="I97" s="42"/>
      <c r="J97" s="42"/>
      <c r="K97" s="42"/>
      <c r="AF97" s="104"/>
    </row>
    <row r="98" spans="2:32" ht="18.75" hidden="1" customHeight="1">
      <c r="B98" s="43" t="s">
        <v>57</v>
      </c>
      <c r="C98" s="529" t="s">
        <v>37</v>
      </c>
      <c r="D98" s="529"/>
      <c r="E98" s="529"/>
      <c r="F98" s="529"/>
      <c r="G98" s="529"/>
      <c r="H98" s="529"/>
      <c r="I98" s="42"/>
      <c r="J98" s="42"/>
      <c r="K98" s="42"/>
      <c r="AF98" s="104"/>
    </row>
    <row r="99" spans="2:32" ht="18.75" hidden="1" customHeight="1">
      <c r="B99" s="43" t="s">
        <v>58</v>
      </c>
      <c r="C99" s="529" t="s">
        <v>38</v>
      </c>
      <c r="D99" s="529"/>
      <c r="E99" s="529"/>
      <c r="F99" s="529"/>
      <c r="G99" s="529"/>
      <c r="H99" s="529"/>
      <c r="I99" s="42"/>
      <c r="J99" s="42"/>
      <c r="K99" s="42"/>
      <c r="AF99" s="104"/>
    </row>
    <row r="100" spans="2:32" ht="33.75" hidden="1" customHeight="1">
      <c r="B100" s="43" t="s">
        <v>59</v>
      </c>
      <c r="C100" s="529" t="s">
        <v>39</v>
      </c>
      <c r="D100" s="529"/>
      <c r="E100" s="529"/>
      <c r="F100" s="529"/>
      <c r="G100" s="529"/>
      <c r="H100" s="529"/>
      <c r="I100" s="42"/>
      <c r="J100" s="42"/>
      <c r="K100" s="42"/>
      <c r="AF100" s="104"/>
    </row>
    <row r="101" spans="2:32" ht="33.75" hidden="1" customHeight="1">
      <c r="B101" s="41" t="s">
        <v>42</v>
      </c>
      <c r="C101" s="529" t="s">
        <v>10</v>
      </c>
      <c r="D101" s="529"/>
      <c r="E101" s="529"/>
      <c r="F101" s="529"/>
      <c r="G101" s="529"/>
      <c r="H101" s="529"/>
      <c r="I101" s="42"/>
      <c r="J101" s="42"/>
      <c r="K101" s="42"/>
      <c r="AF101" s="104"/>
    </row>
    <row r="102" spans="2:32" ht="32.25" hidden="1" customHeight="1">
      <c r="B102" s="41" t="s">
        <v>43</v>
      </c>
      <c r="C102" s="529" t="s">
        <v>45</v>
      </c>
      <c r="D102" s="529"/>
      <c r="E102" s="529"/>
      <c r="F102" s="529"/>
      <c r="G102" s="529"/>
      <c r="H102" s="529"/>
      <c r="I102" s="42"/>
      <c r="J102" s="42"/>
      <c r="K102" s="42"/>
      <c r="AF102" s="104"/>
    </row>
    <row r="103" spans="2:32" ht="34.5" hidden="1" customHeight="1">
      <c r="B103" s="41" t="s">
        <v>0</v>
      </c>
      <c r="C103" s="529" t="s">
        <v>11</v>
      </c>
      <c r="D103" s="529"/>
      <c r="E103" s="529"/>
      <c r="F103" s="529"/>
      <c r="G103" s="529"/>
      <c r="H103" s="529"/>
      <c r="AF103" s="104"/>
    </row>
    <row r="104" spans="2:32" ht="33.75" hidden="1" customHeight="1">
      <c r="B104" s="41" t="s">
        <v>1</v>
      </c>
      <c r="C104" s="529" t="s">
        <v>12</v>
      </c>
      <c r="D104" s="529"/>
      <c r="E104" s="529"/>
      <c r="F104" s="529"/>
      <c r="G104" s="529"/>
      <c r="H104" s="529"/>
      <c r="AF104" s="104"/>
    </row>
    <row r="105" spans="2:32" ht="36.75" hidden="1" customHeight="1">
      <c r="B105" s="41" t="s">
        <v>40</v>
      </c>
      <c r="C105" s="529" t="s">
        <v>64</v>
      </c>
      <c r="D105" s="529"/>
      <c r="E105" s="529"/>
      <c r="F105" s="529"/>
      <c r="G105" s="529"/>
      <c r="H105" s="529"/>
      <c r="AF105" s="104"/>
    </row>
    <row r="106" spans="2:32" ht="31.5" hidden="1" customHeight="1">
      <c r="B106" s="41" t="s">
        <v>41</v>
      </c>
      <c r="C106" s="529" t="s">
        <v>65</v>
      </c>
      <c r="D106" s="529"/>
      <c r="E106" s="529"/>
      <c r="F106" s="529"/>
      <c r="G106" s="529"/>
      <c r="H106" s="529"/>
      <c r="AF106" s="104"/>
    </row>
    <row r="107" spans="2:32" hidden="1">
      <c r="B107" s="44"/>
      <c r="C107" s="7"/>
      <c r="D107" s="7"/>
      <c r="E107" s="7"/>
      <c r="F107" s="7"/>
      <c r="G107" s="7"/>
      <c r="H107" s="7"/>
      <c r="AF107" s="104"/>
    </row>
    <row r="108" spans="2:32" s="147" customFormat="1" ht="23.25" customHeight="1">
      <c r="B108" s="356" t="s">
        <v>14</v>
      </c>
      <c r="C108" s="357"/>
      <c r="D108" s="357"/>
      <c r="E108" s="517" t="s">
        <v>404</v>
      </c>
      <c r="F108" s="517"/>
      <c r="G108" s="517"/>
      <c r="H108" s="517"/>
      <c r="I108" s="358"/>
      <c r="J108" s="358"/>
      <c r="K108" s="359"/>
      <c r="AF108" s="359"/>
    </row>
    <row r="109" spans="2:32" ht="18.75">
      <c r="B109" s="90"/>
      <c r="C109" s="91"/>
      <c r="D109" s="91"/>
      <c r="E109" s="91"/>
      <c r="F109" s="91"/>
      <c r="G109" s="91"/>
      <c r="H109" s="91"/>
      <c r="I109" s="105"/>
      <c r="AF109" s="104"/>
    </row>
    <row r="110" spans="2:32" s="147" customFormat="1" ht="21.75" customHeight="1">
      <c r="B110" s="356" t="s">
        <v>15</v>
      </c>
      <c r="C110" s="357"/>
      <c r="D110" s="357"/>
      <c r="E110" s="517" t="s">
        <v>404</v>
      </c>
      <c r="F110" s="517"/>
      <c r="G110" s="517"/>
      <c r="H110" s="517"/>
      <c r="I110" s="358"/>
      <c r="J110" s="358"/>
      <c r="K110" s="359"/>
      <c r="AF110" s="359"/>
    </row>
  </sheetData>
  <mergeCells count="30">
    <mergeCell ref="E110:H110"/>
    <mergeCell ref="C97:H97"/>
    <mergeCell ref="C98:H98"/>
    <mergeCell ref="C99:H99"/>
    <mergeCell ref="C100:H100"/>
    <mergeCell ref="C101:H101"/>
    <mergeCell ref="C102:H102"/>
    <mergeCell ref="C103:H103"/>
    <mergeCell ref="C104:H104"/>
    <mergeCell ref="C105:H105"/>
    <mergeCell ref="C106:H106"/>
    <mergeCell ref="E108:H108"/>
    <mergeCell ref="C96:H96"/>
    <mergeCell ref="B55:F55"/>
    <mergeCell ref="G56:H56"/>
    <mergeCell ref="B57:B59"/>
    <mergeCell ref="E57:G57"/>
    <mergeCell ref="E58:H58"/>
    <mergeCell ref="E65:H65"/>
    <mergeCell ref="B81:B82"/>
    <mergeCell ref="B86:B88"/>
    <mergeCell ref="B89:C89"/>
    <mergeCell ref="B90:B92"/>
    <mergeCell ref="B93:C93"/>
    <mergeCell ref="B16:D16"/>
    <mergeCell ref="B1:H1"/>
    <mergeCell ref="B2:H2"/>
    <mergeCell ref="E3:F3"/>
    <mergeCell ref="B5:F5"/>
    <mergeCell ref="B6:F6"/>
  </mergeCells>
  <conditionalFormatting sqref="B18:E45">
    <cfRule type="containsErrors" dxfId="4" priority="5">
      <formula>ISERROR(B18)</formula>
    </cfRule>
  </conditionalFormatting>
  <conditionalFormatting sqref="B18:B44">
    <cfRule type="containsText" dxfId="3" priority="4" operator="containsText" text="Строительство">
      <formula>NOT(ISERROR(SEARCH("Строительство",B18)))</formula>
    </cfRule>
  </conditionalFormatting>
  <conditionalFormatting sqref="E18:E44">
    <cfRule type="expression" dxfId="2" priority="3">
      <formula>OR(EXACT(E18,"да"),EXACT(E18,"нет"))</formula>
    </cfRule>
  </conditionalFormatting>
  <conditionalFormatting sqref="B10:D10">
    <cfRule type="containsText" dxfId="1" priority="2" operator="containsText" text="Расчет неверен">
      <formula>NOT(ISERROR(SEARCH("Расчет неверен",B10)))</formula>
    </cfRule>
  </conditionalFormatting>
  <conditionalFormatting sqref="F18:F44">
    <cfRule type="containsErrors" dxfId="0" priority="1">
      <formula>ISERROR(F18)</formula>
    </cfRule>
  </conditionalFormatting>
  <pageMargins left="0.23622047244094491" right="0.23622047244094491" top="0.15748031496062992" bottom="0.15748031496062992" header="0.31496062992125984" footer="0.31496062992125984"/>
  <pageSetup paperSize="9" scale="48" fitToHeight="20" orientation="portrait" r:id="rId1"/>
  <legacyDrawing r:id="rId2"/>
  <controls>
    <control shapeId="3079" r:id="rId3" name="ComboBox7"/>
    <control shapeId="3078" r:id="rId4" name="ComboBox6"/>
    <control shapeId="3077" r:id="rId5" name="ComboBox5"/>
    <control shapeId="3076" r:id="rId6" name="ComboBox4"/>
    <control shapeId="3075" r:id="rId7" name="ComboBox3"/>
    <control shapeId="3074" r:id="rId8" name="ComboBox2"/>
    <control shapeId="3073" r:id="rId9" name="ComboBox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>
    <outlinePr summaryBelow="0"/>
  </sheetPr>
  <dimension ref="A1:AC147"/>
  <sheetViews>
    <sheetView zoomScaleNormal="100" workbookViewId="0">
      <selection activeCell="H30" sqref="H30"/>
    </sheetView>
  </sheetViews>
  <sheetFormatPr defaultColWidth="77.140625" defaultRowHeight="15" outlineLevelRow="3"/>
  <cols>
    <col min="1" max="1" width="9.85546875" style="50" customWidth="1"/>
    <col min="2" max="2" width="69.140625" style="204" customWidth="1"/>
    <col min="3" max="4" width="10.85546875" style="50" hidden="1" customWidth="1"/>
    <col min="5" max="5" width="11.7109375" style="50" hidden="1" customWidth="1"/>
    <col min="6" max="6" width="19.7109375" style="200" customWidth="1"/>
    <col min="7" max="7" width="23.85546875" style="200" customWidth="1"/>
    <col min="8" max="8" width="15.140625" style="47" customWidth="1"/>
    <col min="9" max="9" width="21" style="61" customWidth="1"/>
    <col min="10" max="10" width="19.5703125" style="61" customWidth="1"/>
    <col min="11" max="11" width="14.7109375" style="118" hidden="1" customWidth="1"/>
    <col min="12" max="12" width="9.42578125" style="49" hidden="1" customWidth="1"/>
    <col min="13" max="15" width="9.85546875" style="49" hidden="1" customWidth="1"/>
    <col min="16" max="16" width="3" style="49" hidden="1" customWidth="1"/>
    <col min="17" max="17" width="2" style="50" hidden="1" customWidth="1"/>
    <col min="18" max="18" width="3.140625" style="50" customWidth="1"/>
    <col min="19" max="19" width="20.28515625" customWidth="1"/>
    <col min="20" max="20" width="18.5703125" customWidth="1"/>
    <col min="21" max="22" width="10.7109375" hidden="1" customWidth="1"/>
    <col min="23" max="23" width="38.85546875" hidden="1" customWidth="1"/>
    <col min="24" max="29" width="10.7109375" hidden="1" customWidth="1"/>
    <col min="30" max="61" width="10.7109375" customWidth="1"/>
  </cols>
  <sheetData>
    <row r="1" spans="1:25" ht="12" customHeight="1">
      <c r="A1" s="551" t="s">
        <v>462</v>
      </c>
      <c r="B1" s="551"/>
      <c r="C1" s="551"/>
      <c r="D1" s="551"/>
      <c r="E1" s="551"/>
      <c r="F1" s="551"/>
      <c r="G1" s="551"/>
      <c r="H1" s="551"/>
      <c r="I1" s="551"/>
      <c r="J1" s="551"/>
      <c r="K1" s="114"/>
    </row>
    <row r="2" spans="1:25" ht="27" customHeight="1">
      <c r="A2" s="551"/>
      <c r="B2" s="551"/>
      <c r="C2" s="551"/>
      <c r="D2" s="551"/>
      <c r="E2" s="551"/>
      <c r="F2" s="551"/>
      <c r="G2" s="551"/>
      <c r="H2" s="551"/>
      <c r="I2" s="551"/>
      <c r="J2" s="551"/>
      <c r="K2" s="114"/>
      <c r="Q2" s="49"/>
      <c r="R2" s="49"/>
      <c r="S2" s="51" t="s">
        <v>242</v>
      </c>
      <c r="T2" s="279">
        <f>SUM(M10:M40)</f>
        <v>0</v>
      </c>
      <c r="V2">
        <f>VALUE(T2)*3.77</f>
        <v>0</v>
      </c>
      <c r="Y2" s="47">
        <f>SUM(M10:M40)</f>
        <v>0</v>
      </c>
    </row>
    <row r="3" spans="1:25" ht="12" customHeight="1">
      <c r="A3" s="551"/>
      <c r="B3" s="551"/>
      <c r="C3" s="551"/>
      <c r="D3" s="551"/>
      <c r="E3" s="551"/>
      <c r="F3" s="551"/>
      <c r="G3" s="551"/>
      <c r="H3" s="551"/>
      <c r="I3" s="551"/>
      <c r="J3" s="551"/>
      <c r="K3" s="114"/>
      <c r="Q3" s="49"/>
      <c r="R3" s="49"/>
      <c r="S3" s="52"/>
      <c r="T3" s="50"/>
    </row>
    <row r="4" spans="1:25" ht="21" customHeight="1" thickBot="1">
      <c r="A4" s="409"/>
      <c r="B4" s="410"/>
      <c r="C4" s="409"/>
      <c r="D4" s="409"/>
      <c r="E4" s="409"/>
      <c r="F4" s="411"/>
      <c r="G4" s="411"/>
      <c r="H4" s="412"/>
      <c r="I4" s="413"/>
      <c r="J4" s="413"/>
      <c r="K4" s="115"/>
      <c r="Q4" s="49"/>
      <c r="R4" s="49"/>
      <c r="S4" s="51" t="s">
        <v>426</v>
      </c>
      <c r="T4" s="279">
        <f>SUM(M48:M51,M61:M65)</f>
        <v>0</v>
      </c>
      <c r="V4">
        <f>VALUE(T4)*4.45</f>
        <v>0</v>
      </c>
      <c r="Y4" s="83">
        <f>SUM(M45:M68)</f>
        <v>0</v>
      </c>
    </row>
    <row r="5" spans="1:25" ht="15.75" customHeight="1" thickBot="1">
      <c r="A5" s="559" t="s">
        <v>243</v>
      </c>
      <c r="B5" s="574" t="s">
        <v>414</v>
      </c>
      <c r="C5" s="560"/>
      <c r="D5" s="560"/>
      <c r="E5" s="560"/>
      <c r="F5" s="575" t="s">
        <v>244</v>
      </c>
      <c r="G5" s="575" t="s">
        <v>245</v>
      </c>
      <c r="H5" s="576" t="s">
        <v>391</v>
      </c>
      <c r="I5" s="579" t="s">
        <v>246</v>
      </c>
      <c r="J5" s="580"/>
      <c r="K5" s="569"/>
      <c r="M5" s="53"/>
      <c r="N5" s="53"/>
      <c r="O5" s="53"/>
      <c r="P5" s="53"/>
      <c r="Q5" s="53"/>
      <c r="R5" s="53"/>
      <c r="S5" s="167"/>
      <c r="T5" s="168"/>
      <c r="Y5" s="84"/>
    </row>
    <row r="6" spans="1:25" ht="21.75" customHeight="1" thickBot="1">
      <c r="A6" s="559"/>
      <c r="B6" s="574"/>
      <c r="C6" s="561"/>
      <c r="D6" s="561"/>
      <c r="E6" s="561"/>
      <c r="F6" s="575"/>
      <c r="G6" s="575"/>
      <c r="H6" s="576"/>
      <c r="I6" s="577" t="s">
        <v>401</v>
      </c>
      <c r="J6" s="577" t="s">
        <v>402</v>
      </c>
      <c r="K6" s="569"/>
      <c r="Q6" s="49"/>
      <c r="R6" s="49"/>
      <c r="S6" s="51" t="s">
        <v>427</v>
      </c>
      <c r="T6" s="279">
        <f>SUM(M53:M56,M67:M68)</f>
        <v>0</v>
      </c>
      <c r="V6" s="47">
        <f>VALUE(T10)*5.63</f>
        <v>0</v>
      </c>
      <c r="Y6" s="83">
        <f>SUM(M73:M133)</f>
        <v>0</v>
      </c>
    </row>
    <row r="7" spans="1:25" ht="20.25" customHeight="1" thickBot="1">
      <c r="A7" s="559"/>
      <c r="B7" s="574"/>
      <c r="C7" s="562"/>
      <c r="D7" s="562"/>
      <c r="E7" s="562"/>
      <c r="F7" s="575"/>
      <c r="G7" s="575"/>
      <c r="H7" s="576"/>
      <c r="I7" s="578"/>
      <c r="J7" s="578"/>
      <c r="K7" s="569"/>
      <c r="M7" s="53"/>
      <c r="N7" s="53"/>
      <c r="O7" s="53"/>
      <c r="P7" s="53"/>
      <c r="Q7" s="53"/>
      <c r="R7" s="53"/>
      <c r="S7" s="167"/>
      <c r="T7" s="168"/>
      <c r="Y7" s="84"/>
    </row>
    <row r="8" spans="1:25" ht="19.5" customHeight="1" thickBot="1">
      <c r="A8" s="414">
        <v>1</v>
      </c>
      <c r="B8" s="415">
        <v>2</v>
      </c>
      <c r="C8" s="414">
        <v>3</v>
      </c>
      <c r="D8" s="414">
        <v>4</v>
      </c>
      <c r="E8" s="414">
        <v>5</v>
      </c>
      <c r="F8" s="416" t="s">
        <v>390</v>
      </c>
      <c r="G8" s="416" t="s">
        <v>429</v>
      </c>
      <c r="H8" s="417" t="s">
        <v>430</v>
      </c>
      <c r="I8" s="418" t="s">
        <v>387</v>
      </c>
      <c r="J8" s="418" t="s">
        <v>388</v>
      </c>
      <c r="K8" s="107"/>
      <c r="Q8" s="49"/>
      <c r="R8" s="49"/>
      <c r="S8" s="51" t="s">
        <v>403</v>
      </c>
      <c r="T8" s="279">
        <f>SUM(M58,M70)</f>
        <v>0</v>
      </c>
      <c r="V8" s="47">
        <f>VALUE(T12)*5.63</f>
        <v>0</v>
      </c>
      <c r="Y8" s="83">
        <f>SUM(M135:M137)</f>
        <v>0</v>
      </c>
    </row>
    <row r="9" spans="1:25" ht="24" customHeight="1">
      <c r="A9" s="419"/>
      <c r="B9" s="563" t="s">
        <v>405</v>
      </c>
      <c r="C9" s="564"/>
      <c r="D9" s="564"/>
      <c r="E9" s="564"/>
      <c r="F9" s="564"/>
      <c r="G9" s="564"/>
      <c r="H9" s="564"/>
      <c r="I9" s="564"/>
      <c r="J9" s="565"/>
      <c r="K9" s="108"/>
      <c r="Q9" s="49"/>
      <c r="R9" s="49"/>
      <c r="S9" s="52"/>
      <c r="T9" s="50"/>
      <c r="Y9" s="84"/>
    </row>
    <row r="10" spans="1:25" ht="36.75" customHeight="1" thickBot="1">
      <c r="A10" s="420"/>
      <c r="B10" s="566"/>
      <c r="C10" s="567"/>
      <c r="D10" s="567"/>
      <c r="E10" s="567"/>
      <c r="F10" s="567"/>
      <c r="G10" s="567"/>
      <c r="H10" s="567"/>
      <c r="I10" s="567"/>
      <c r="J10" s="568"/>
      <c r="K10" s="108"/>
      <c r="Q10" s="49"/>
      <c r="R10" s="49"/>
      <c r="S10" s="51" t="s">
        <v>328</v>
      </c>
      <c r="T10" s="280">
        <f>SUM(M73:M133)</f>
        <v>0</v>
      </c>
      <c r="V10" s="47">
        <f>VALUE(T14)*5.63</f>
        <v>0</v>
      </c>
      <c r="Y10" s="83">
        <f>SUM(M139)</f>
        <v>0</v>
      </c>
    </row>
    <row r="11" spans="1:25" s="185" customFormat="1" ht="24" customHeight="1" thickBot="1">
      <c r="A11" s="421" t="s">
        <v>247</v>
      </c>
      <c r="B11" s="422" t="s">
        <v>67</v>
      </c>
      <c r="C11" s="422"/>
      <c r="D11" s="422"/>
      <c r="E11" s="422"/>
      <c r="F11" s="423" t="s">
        <v>241</v>
      </c>
      <c r="G11" s="423" t="s">
        <v>241</v>
      </c>
      <c r="H11" s="424" t="s">
        <v>332</v>
      </c>
      <c r="I11" s="425"/>
      <c r="J11" s="426"/>
      <c r="K11" s="109" t="s">
        <v>241</v>
      </c>
      <c r="L11" s="67" t="str">
        <f>IF(VALUE(T2)&gt;0,"да","нет")</f>
        <v>нет</v>
      </c>
      <c r="M11" s="66"/>
      <c r="N11" s="66"/>
      <c r="O11" s="66"/>
      <c r="P11" s="66"/>
      <c r="Q11" s="66"/>
      <c r="R11" s="53"/>
      <c r="S11" s="54"/>
      <c r="T11" s="184"/>
    </row>
    <row r="12" spans="1:25" s="185" customFormat="1" ht="24" customHeight="1" outlineLevel="1" thickBot="1">
      <c r="A12" s="427"/>
      <c r="B12" s="556" t="s">
        <v>338</v>
      </c>
      <c r="C12" s="557"/>
      <c r="D12" s="557"/>
      <c r="E12" s="557"/>
      <c r="F12" s="557"/>
      <c r="G12" s="557"/>
      <c r="H12" s="428"/>
      <c r="I12" s="428"/>
      <c r="J12" s="429"/>
      <c r="K12" s="110" t="s">
        <v>241</v>
      </c>
      <c r="L12" s="49"/>
      <c r="M12" s="49"/>
      <c r="N12" s="49"/>
      <c r="O12" s="49"/>
      <c r="P12" s="49"/>
      <c r="Q12" s="49"/>
      <c r="R12" s="49"/>
      <c r="S12" s="51" t="s">
        <v>329</v>
      </c>
      <c r="T12" s="280">
        <f>SUM(M135:M137)</f>
        <v>0</v>
      </c>
      <c r="V12" s="216">
        <f>SUM(V2,V4,V6,V8,V10)</f>
        <v>0</v>
      </c>
    </row>
    <row r="13" spans="1:25" s="185" customFormat="1" ht="27" customHeight="1" outlineLevel="2" collapsed="1" thickBot="1">
      <c r="A13" s="427" t="s">
        <v>248</v>
      </c>
      <c r="B13" s="570" t="s">
        <v>249</v>
      </c>
      <c r="C13" s="571"/>
      <c r="D13" s="571"/>
      <c r="E13" s="571"/>
      <c r="F13" s="571"/>
      <c r="G13" s="571"/>
      <c r="H13" s="428"/>
      <c r="I13" s="428"/>
      <c r="J13" s="429"/>
      <c r="K13" s="110" t="s">
        <v>241</v>
      </c>
      <c r="L13" s="49"/>
      <c r="M13" s="49"/>
      <c r="N13" s="49"/>
      <c r="O13" s="49"/>
      <c r="P13" s="49"/>
      <c r="Q13" s="49"/>
      <c r="R13" s="49"/>
      <c r="S13" s="54"/>
      <c r="T13" s="184"/>
      <c r="V13" s="216">
        <f>SUM(V3,V5,V7,V9,V11)</f>
        <v>0</v>
      </c>
    </row>
    <row r="14" spans="1:25" s="217" customFormat="1" ht="42.75" hidden="1" customHeight="1" outlineLevel="3" thickBot="1">
      <c r="A14" s="430" t="s">
        <v>153</v>
      </c>
      <c r="B14" s="431" t="s">
        <v>342</v>
      </c>
      <c r="C14" s="432"/>
      <c r="D14" s="432"/>
      <c r="E14" s="432"/>
      <c r="F14" s="433" t="s">
        <v>250</v>
      </c>
      <c r="G14" s="433" t="s">
        <v>68</v>
      </c>
      <c r="H14" s="434"/>
      <c r="I14" s="435">
        <v>39956.5</v>
      </c>
      <c r="J14" s="436">
        <v>79913</v>
      </c>
      <c r="K14" s="111">
        <f>ROUND(IF(VALUE(Калькулятор!E10)&gt;150,J14,I14),2)</f>
        <v>39956.5</v>
      </c>
      <c r="L14" s="56" t="str">
        <f t="shared" ref="L14:L28" si="0">CONCATENATE(H14)</f>
        <v/>
      </c>
      <c r="M14" s="65">
        <f>PRODUCT(VALUE(K14),IF(H14="",0,VALUE(H14)))</f>
        <v>0</v>
      </c>
      <c r="N14" s="65"/>
      <c r="O14" s="65"/>
      <c r="P14" s="65"/>
      <c r="Q14" s="65"/>
      <c r="R14" s="56"/>
      <c r="S14" s="51" t="s">
        <v>399</v>
      </c>
      <c r="T14" s="280">
        <f>SUM(M139)</f>
        <v>0</v>
      </c>
    </row>
    <row r="15" spans="1:25" s="217" customFormat="1" ht="45" hidden="1" customHeight="1" outlineLevel="3" thickBot="1">
      <c r="A15" s="430" t="s">
        <v>154</v>
      </c>
      <c r="B15" s="431" t="s">
        <v>343</v>
      </c>
      <c r="C15" s="432"/>
      <c r="D15" s="432"/>
      <c r="E15" s="432"/>
      <c r="F15" s="433" t="s">
        <v>250</v>
      </c>
      <c r="G15" s="433" t="s">
        <v>69</v>
      </c>
      <c r="H15" s="437"/>
      <c r="I15" s="435">
        <v>60596.5</v>
      </c>
      <c r="J15" s="436">
        <v>121193</v>
      </c>
      <c r="K15" s="111">
        <f>ROUND(IF(VALUE(Калькулятор!E11)&gt;150,J15,I15),2)</f>
        <v>60596.5</v>
      </c>
      <c r="L15" s="56" t="str">
        <f t="shared" si="0"/>
        <v/>
      </c>
      <c r="M15" s="65">
        <f>PRODUCT(VALUE(K15),IF(H15="",0,VALUE(H15)))</f>
        <v>0</v>
      </c>
      <c r="N15" s="65"/>
      <c r="O15" s="65"/>
      <c r="P15" s="56"/>
      <c r="Q15" s="55"/>
      <c r="R15" s="184"/>
    </row>
    <row r="16" spans="1:25" s="217" customFormat="1" ht="46.5" hidden="1" customHeight="1" outlineLevel="3" thickBot="1">
      <c r="A16" s="430" t="s">
        <v>155</v>
      </c>
      <c r="B16" s="431" t="s">
        <v>344</v>
      </c>
      <c r="C16" s="432"/>
      <c r="D16" s="432"/>
      <c r="E16" s="432"/>
      <c r="F16" s="433" t="s">
        <v>250</v>
      </c>
      <c r="G16" s="433" t="s">
        <v>70</v>
      </c>
      <c r="H16" s="437"/>
      <c r="I16" s="435">
        <v>134048</v>
      </c>
      <c r="J16" s="436">
        <v>268096</v>
      </c>
      <c r="K16" s="111">
        <f>ROUND(IF(VALUE(Калькулятор!E12)&gt;150,J16,I16),2)</f>
        <v>134048</v>
      </c>
      <c r="L16" s="56" t="str">
        <f t="shared" si="0"/>
        <v/>
      </c>
      <c r="M16" s="65">
        <f>PRODUCT(VALUE(K16),IF(H16="",0,VALUE(H16)))</f>
        <v>0</v>
      </c>
      <c r="N16" s="65"/>
      <c r="O16" s="65"/>
      <c r="P16" s="56"/>
      <c r="Q16" s="55"/>
      <c r="R16" s="184"/>
    </row>
    <row r="17" spans="1:18" s="185" customFormat="1" ht="48.75" hidden="1" customHeight="1" outlineLevel="3" thickBot="1">
      <c r="A17" s="430" t="s">
        <v>156</v>
      </c>
      <c r="B17" s="431" t="s">
        <v>345</v>
      </c>
      <c r="C17" s="432"/>
      <c r="D17" s="432"/>
      <c r="E17" s="432"/>
      <c r="F17" s="433" t="s">
        <v>250</v>
      </c>
      <c r="G17" s="433" t="s">
        <v>71</v>
      </c>
      <c r="H17" s="437"/>
      <c r="I17" s="435">
        <v>112378</v>
      </c>
      <c r="J17" s="436">
        <v>224756</v>
      </c>
      <c r="K17" s="111">
        <f>ROUND(IF(VALUE(Калькулятор!E10)&gt;150,J17,I17),2)</f>
        <v>112378</v>
      </c>
      <c r="L17" s="56" t="str">
        <f t="shared" si="0"/>
        <v/>
      </c>
      <c r="M17" s="65">
        <f>PRODUCT(VALUE(K17),IF(H17="",0,VALUE(H17)))</f>
        <v>0</v>
      </c>
      <c r="N17" s="65"/>
      <c r="O17" s="65"/>
      <c r="P17" s="56"/>
      <c r="Q17" s="55"/>
      <c r="R17" s="184"/>
    </row>
    <row r="18" spans="1:18" s="185" customFormat="1" ht="48" hidden="1" customHeight="1" outlineLevel="3" thickBot="1">
      <c r="A18" s="430" t="s">
        <v>157</v>
      </c>
      <c r="B18" s="431" t="s">
        <v>346</v>
      </c>
      <c r="C18" s="432"/>
      <c r="D18" s="432"/>
      <c r="E18" s="432"/>
      <c r="F18" s="433" t="s">
        <v>250</v>
      </c>
      <c r="G18" s="433" t="s">
        <v>72</v>
      </c>
      <c r="H18" s="438"/>
      <c r="I18" s="435">
        <v>117133.5</v>
      </c>
      <c r="J18" s="436">
        <v>234267</v>
      </c>
      <c r="K18" s="111">
        <f>ROUND(IF(VALUE(Калькулятор!E10)&gt;150,J18,I18),2)</f>
        <v>117133.5</v>
      </c>
      <c r="L18" s="56" t="str">
        <f t="shared" si="0"/>
        <v/>
      </c>
      <c r="M18" s="120">
        <f>PRODUCT(VALUE(K18),IF(H18="",0,VALUE(H18)))</f>
        <v>0</v>
      </c>
      <c r="N18" s="120"/>
      <c r="O18" s="120"/>
      <c r="P18" s="56"/>
      <c r="Q18" s="218"/>
      <c r="R18" s="218"/>
    </row>
    <row r="19" spans="1:18" s="185" customFormat="1" ht="29.25" customHeight="1" outlineLevel="2" thickBot="1">
      <c r="A19" s="439" t="s">
        <v>251</v>
      </c>
      <c r="B19" s="552" t="s">
        <v>252</v>
      </c>
      <c r="C19" s="553"/>
      <c r="D19" s="553"/>
      <c r="E19" s="553"/>
      <c r="F19" s="553"/>
      <c r="G19" s="553"/>
      <c r="H19" s="440"/>
      <c r="I19" s="440"/>
      <c r="J19" s="441"/>
      <c r="K19" s="112" t="s">
        <v>241</v>
      </c>
      <c r="L19" s="56" t="str">
        <f t="shared" si="0"/>
        <v/>
      </c>
      <c r="M19" s="65"/>
      <c r="N19" s="65"/>
      <c r="O19" s="65"/>
      <c r="P19" s="56"/>
      <c r="Q19" s="218"/>
      <c r="R19" s="218"/>
    </row>
    <row r="20" spans="1:18" s="217" customFormat="1" ht="38.25" customHeight="1" outlineLevel="3" thickBot="1">
      <c r="A20" s="430" t="s">
        <v>158</v>
      </c>
      <c r="B20" s="431" t="s">
        <v>434</v>
      </c>
      <c r="C20" s="432"/>
      <c r="D20" s="432"/>
      <c r="E20" s="432"/>
      <c r="F20" s="433" t="s">
        <v>250</v>
      </c>
      <c r="G20" s="433" t="s">
        <v>68</v>
      </c>
      <c r="H20" s="434"/>
      <c r="I20" s="435">
        <v>94498</v>
      </c>
      <c r="J20" s="436">
        <v>188996</v>
      </c>
      <c r="K20" s="111">
        <f>ROUND(IF(VALUE(Калькулятор!E12)&gt;150,J20,I20),2)</f>
        <v>94498</v>
      </c>
      <c r="L20" s="56" t="str">
        <f t="shared" si="0"/>
        <v/>
      </c>
      <c r="M20" s="65">
        <f>PRODUCT(VALUE(K20),IF(H20="",0,VALUE(H20)))</f>
        <v>0</v>
      </c>
      <c r="N20" s="65"/>
      <c r="O20" s="65"/>
      <c r="P20" s="56"/>
      <c r="Q20" s="218"/>
      <c r="R20" s="218"/>
    </row>
    <row r="21" spans="1:18" s="217" customFormat="1" ht="33" customHeight="1" outlineLevel="3" thickBot="1">
      <c r="A21" s="430" t="s">
        <v>159</v>
      </c>
      <c r="B21" s="431" t="s">
        <v>435</v>
      </c>
      <c r="C21" s="432"/>
      <c r="D21" s="432"/>
      <c r="E21" s="432"/>
      <c r="F21" s="433" t="s">
        <v>250</v>
      </c>
      <c r="G21" s="433" t="s">
        <v>433</v>
      </c>
      <c r="H21" s="437"/>
      <c r="I21" s="435">
        <v>98038.5</v>
      </c>
      <c r="J21" s="436">
        <v>196077</v>
      </c>
      <c r="K21" s="111">
        <f>ROUND(IF(VALUE(Калькулятор!E10)&gt;150,J21,I21),2)</f>
        <v>98038.5</v>
      </c>
      <c r="L21" s="56" t="str">
        <f t="shared" si="0"/>
        <v/>
      </c>
      <c r="M21" s="65">
        <f>PRODUCT(VALUE(K21),IF(H21="",0,VALUE(H21)))</f>
        <v>0</v>
      </c>
      <c r="N21" s="65"/>
      <c r="O21" s="65"/>
      <c r="P21" s="56"/>
      <c r="Q21" s="184"/>
      <c r="R21" s="184"/>
    </row>
    <row r="22" spans="1:18" s="185" customFormat="1" ht="39" customHeight="1" outlineLevel="3" thickBot="1">
      <c r="A22" s="442" t="s">
        <v>160</v>
      </c>
      <c r="B22" s="431" t="s">
        <v>436</v>
      </c>
      <c r="C22" s="432"/>
      <c r="D22" s="432"/>
      <c r="E22" s="432"/>
      <c r="F22" s="433" t="s">
        <v>250</v>
      </c>
      <c r="G22" s="443" t="s">
        <v>437</v>
      </c>
      <c r="H22" s="444"/>
      <c r="I22" s="435">
        <v>107011.5</v>
      </c>
      <c r="J22" s="436">
        <v>214023</v>
      </c>
      <c r="K22" s="111">
        <f>ROUND(IF(VALUE(Калькулятор!E10)&gt;150,J22,I22),2)</f>
        <v>107011.5</v>
      </c>
      <c r="L22" s="56" t="str">
        <f t="shared" si="0"/>
        <v/>
      </c>
      <c r="M22" s="65">
        <f>PRODUCT(VALUE(K22),IF(H22="",0,VALUE(H22)))</f>
        <v>0</v>
      </c>
      <c r="N22" s="65"/>
      <c r="O22" s="65"/>
      <c r="P22" s="56"/>
      <c r="Q22" s="184"/>
      <c r="R22" s="184"/>
    </row>
    <row r="23" spans="1:18" s="219" customFormat="1" ht="33" customHeight="1" outlineLevel="3" thickBot="1">
      <c r="A23" s="442" t="s">
        <v>161</v>
      </c>
      <c r="B23" s="431" t="s">
        <v>438</v>
      </c>
      <c r="C23" s="432"/>
      <c r="D23" s="432"/>
      <c r="E23" s="432"/>
      <c r="F23" s="433" t="s">
        <v>250</v>
      </c>
      <c r="G23" s="433" t="s">
        <v>72</v>
      </c>
      <c r="H23" s="444"/>
      <c r="I23" s="435">
        <v>115220</v>
      </c>
      <c r="J23" s="436">
        <v>230440</v>
      </c>
      <c r="K23" s="111">
        <f>ROUND(IF(VALUE(Калькулятор!E10)&gt;150,J23,I23),2)</f>
        <v>115220</v>
      </c>
      <c r="L23" s="56" t="str">
        <f t="shared" si="0"/>
        <v/>
      </c>
      <c r="M23" s="65">
        <f>PRODUCT(VALUE(K23),IF(H23="",0,VALUE(H23)))</f>
        <v>0</v>
      </c>
      <c r="N23" s="65"/>
      <c r="O23" s="65"/>
      <c r="P23" s="56"/>
      <c r="Q23" s="184"/>
      <c r="R23" s="184"/>
    </row>
    <row r="24" spans="1:18" s="219" customFormat="1" ht="33" hidden="1" customHeight="1" outlineLevel="3" thickBot="1">
      <c r="A24" s="442" t="s">
        <v>162</v>
      </c>
      <c r="B24" s="431" t="s">
        <v>347</v>
      </c>
      <c r="C24" s="432"/>
      <c r="D24" s="432"/>
      <c r="E24" s="432"/>
      <c r="F24" s="433" t="s">
        <v>250</v>
      </c>
      <c r="G24" s="433" t="s">
        <v>72</v>
      </c>
      <c r="H24" s="445"/>
      <c r="I24" s="435">
        <v>113431.5</v>
      </c>
      <c r="J24" s="446">
        <v>226863</v>
      </c>
      <c r="K24" s="111">
        <f>ROUND(IF(VALUE(Калькулятор!E10)&gt;150,J24,I24),2)</f>
        <v>113431.5</v>
      </c>
      <c r="L24" s="56" t="str">
        <f t="shared" si="0"/>
        <v/>
      </c>
      <c r="M24" s="65">
        <f>PRODUCT(VALUE(K24),IF(H24="",0,VALUE(H24)))</f>
        <v>0</v>
      </c>
      <c r="N24" s="65"/>
      <c r="O24" s="65"/>
      <c r="P24" s="56"/>
      <c r="Q24" s="218"/>
      <c r="R24" s="218"/>
    </row>
    <row r="25" spans="1:18" s="185" customFormat="1" ht="28.5" customHeight="1" outlineLevel="2" thickBot="1">
      <c r="A25" s="439" t="s">
        <v>253</v>
      </c>
      <c r="B25" s="552" t="s">
        <v>254</v>
      </c>
      <c r="C25" s="553"/>
      <c r="D25" s="553"/>
      <c r="E25" s="553"/>
      <c r="F25" s="553"/>
      <c r="G25" s="553"/>
      <c r="H25" s="440"/>
      <c r="I25" s="440"/>
      <c r="J25" s="447" t="s">
        <v>241</v>
      </c>
      <c r="K25" s="112" t="s">
        <v>241</v>
      </c>
      <c r="L25" s="56" t="str">
        <f t="shared" si="0"/>
        <v/>
      </c>
      <c r="M25" s="65"/>
      <c r="N25" s="65"/>
      <c r="O25" s="65"/>
      <c r="P25" s="56"/>
      <c r="Q25" s="218"/>
      <c r="R25" s="218"/>
    </row>
    <row r="26" spans="1:18" s="220" customFormat="1" ht="33" customHeight="1" outlineLevel="3" thickBot="1">
      <c r="A26" s="442" t="s">
        <v>163</v>
      </c>
      <c r="B26" s="431" t="s">
        <v>441</v>
      </c>
      <c r="C26" s="432"/>
      <c r="D26" s="432"/>
      <c r="E26" s="432"/>
      <c r="F26" s="433" t="s">
        <v>250</v>
      </c>
      <c r="G26" s="443" t="s">
        <v>442</v>
      </c>
      <c r="H26" s="448"/>
      <c r="I26" s="435">
        <v>41722.5</v>
      </c>
      <c r="J26" s="435">
        <v>83445</v>
      </c>
      <c r="K26" s="111">
        <f>ROUND(IF(VALUE(Калькулятор!E10)&gt;150,J26,I26),2)</f>
        <v>41722.5</v>
      </c>
      <c r="L26" s="56" t="str">
        <f t="shared" si="0"/>
        <v/>
      </c>
      <c r="M26" s="65">
        <f>PRODUCT(VALUE(K26),IF(H26="",0,VALUE(H26)))</f>
        <v>0</v>
      </c>
      <c r="N26" s="65"/>
      <c r="O26" s="65"/>
      <c r="P26" s="56"/>
      <c r="Q26" s="184"/>
      <c r="R26" s="184"/>
    </row>
    <row r="27" spans="1:18" s="220" customFormat="1" ht="33" hidden="1" customHeight="1" outlineLevel="3" thickBot="1">
      <c r="A27" s="442" t="s">
        <v>164</v>
      </c>
      <c r="B27" s="431" t="s">
        <v>348</v>
      </c>
      <c r="C27" s="432"/>
      <c r="D27" s="432"/>
      <c r="E27" s="432"/>
      <c r="F27" s="433" t="s">
        <v>250</v>
      </c>
      <c r="G27" s="433" t="s">
        <v>71</v>
      </c>
      <c r="H27" s="444"/>
      <c r="I27" s="435">
        <v>43820.5</v>
      </c>
      <c r="J27" s="436">
        <v>87641</v>
      </c>
      <c r="K27" s="111">
        <f>ROUND(IF(VALUE(Калькулятор!E10)&gt;150,J27,I27),2)</f>
        <v>43820.5</v>
      </c>
      <c r="L27" s="56" t="str">
        <f t="shared" si="0"/>
        <v/>
      </c>
      <c r="M27" s="65">
        <f>PRODUCT(VALUE(K27),IF(H27="",0,VALUE(H27)))</f>
        <v>0</v>
      </c>
      <c r="N27" s="65"/>
      <c r="O27" s="65"/>
      <c r="P27" s="56"/>
      <c r="Q27" s="221"/>
      <c r="R27" s="221"/>
    </row>
    <row r="28" spans="1:18" s="220" customFormat="1" ht="33" customHeight="1" outlineLevel="3" thickBot="1">
      <c r="A28" s="442" t="s">
        <v>165</v>
      </c>
      <c r="B28" s="431" t="s">
        <v>439</v>
      </c>
      <c r="C28" s="432"/>
      <c r="D28" s="432"/>
      <c r="E28" s="432"/>
      <c r="F28" s="433" t="s">
        <v>250</v>
      </c>
      <c r="G28" s="433" t="s">
        <v>72</v>
      </c>
      <c r="H28" s="445">
        <v>0</v>
      </c>
      <c r="I28" s="435">
        <v>95693</v>
      </c>
      <c r="J28" s="446">
        <v>191386</v>
      </c>
      <c r="K28" s="111">
        <f>ROUND(IF(VALUE(Калькулятор!$E$10)&gt;150,J28,I28),2)</f>
        <v>95693</v>
      </c>
      <c r="L28" s="56" t="str">
        <f t="shared" si="0"/>
        <v>0</v>
      </c>
      <c r="M28" s="65">
        <f>PRODUCT(VALUE(K28),IF(H28="",0,VALUE(H28)))</f>
        <v>0</v>
      </c>
      <c r="N28" s="65"/>
      <c r="O28" s="65"/>
      <c r="P28" s="56"/>
      <c r="Q28" s="221"/>
      <c r="R28" s="221"/>
    </row>
    <row r="29" spans="1:18" s="220" customFormat="1" ht="33" customHeight="1" outlineLevel="1" thickBot="1">
      <c r="A29" s="414"/>
      <c r="B29" s="572" t="s">
        <v>339</v>
      </c>
      <c r="C29" s="573"/>
      <c r="D29" s="573"/>
      <c r="E29" s="573"/>
      <c r="F29" s="573"/>
      <c r="G29" s="573"/>
      <c r="H29" s="449"/>
      <c r="I29" s="440"/>
      <c r="J29" s="450"/>
      <c r="K29" s="113" t="s">
        <v>241</v>
      </c>
      <c r="L29" s="56"/>
      <c r="M29" s="65"/>
      <c r="N29" s="65"/>
      <c r="O29" s="65"/>
      <c r="P29" s="56"/>
      <c r="Q29" s="184"/>
      <c r="R29" s="184"/>
    </row>
    <row r="30" spans="1:18" s="185" customFormat="1" ht="30" customHeight="1" outlineLevel="2" collapsed="1" thickBot="1">
      <c r="A30" s="439" t="s">
        <v>255</v>
      </c>
      <c r="B30" s="552" t="s">
        <v>256</v>
      </c>
      <c r="C30" s="553"/>
      <c r="D30" s="553"/>
      <c r="E30" s="553"/>
      <c r="F30" s="553"/>
      <c r="G30" s="553"/>
      <c r="H30" s="440"/>
      <c r="I30" s="440"/>
      <c r="J30" s="441"/>
      <c r="K30" s="112" t="s">
        <v>241</v>
      </c>
      <c r="L30" s="56" t="str">
        <f t="shared" ref="L30:L44" si="1">CONCATENATE(H30)</f>
        <v/>
      </c>
      <c r="M30" s="65"/>
      <c r="N30" s="65"/>
      <c r="O30" s="65"/>
      <c r="P30" s="56"/>
      <c r="Q30" s="207"/>
      <c r="R30" s="207"/>
    </row>
    <row r="31" spans="1:18" s="185" customFormat="1" ht="39" hidden="1" customHeight="1" outlineLevel="3" thickBot="1">
      <c r="A31" s="442" t="s">
        <v>166</v>
      </c>
      <c r="B31" s="431" t="s">
        <v>349</v>
      </c>
      <c r="C31" s="432"/>
      <c r="D31" s="432"/>
      <c r="E31" s="432"/>
      <c r="F31" s="433" t="s">
        <v>257</v>
      </c>
      <c r="G31" s="433" t="s">
        <v>73</v>
      </c>
      <c r="H31" s="448"/>
      <c r="I31" s="435">
        <v>135717</v>
      </c>
      <c r="J31" s="451">
        <v>271434</v>
      </c>
      <c r="K31" s="111">
        <f>ROUND(IF(VALUE(Калькулятор!$E$10)&gt;150,J31,I31),2)</f>
        <v>135717</v>
      </c>
      <c r="L31" s="56" t="str">
        <f t="shared" si="1"/>
        <v/>
      </c>
      <c r="M31" s="65">
        <f>PRODUCT(VALUE(K31),IF(H31="",0,VALUE(H31)))</f>
        <v>0</v>
      </c>
      <c r="N31" s="65"/>
      <c r="O31" s="65"/>
      <c r="P31" s="56"/>
      <c r="Q31" s="207"/>
      <c r="R31" s="207"/>
    </row>
    <row r="32" spans="1:18" s="185" customFormat="1" ht="33" hidden="1" customHeight="1" outlineLevel="3" thickBot="1">
      <c r="A32" s="442" t="s">
        <v>167</v>
      </c>
      <c r="B32" s="431" t="s">
        <v>350</v>
      </c>
      <c r="C32" s="432"/>
      <c r="D32" s="432"/>
      <c r="E32" s="432"/>
      <c r="F32" s="433" t="s">
        <v>257</v>
      </c>
      <c r="G32" s="433" t="s">
        <v>74</v>
      </c>
      <c r="H32" s="444"/>
      <c r="I32" s="435">
        <v>147857.5</v>
      </c>
      <c r="J32" s="452">
        <v>295715</v>
      </c>
      <c r="K32" s="111">
        <f>ROUND(IF(VALUE(Калькулятор!$E$10)&gt;150,J32,I32),2)</f>
        <v>147857.5</v>
      </c>
      <c r="L32" s="56" t="str">
        <f t="shared" si="1"/>
        <v/>
      </c>
      <c r="M32" s="65">
        <f>PRODUCT(VALUE(K32),IF(H32="",0,VALUE(H32)))</f>
        <v>0</v>
      </c>
      <c r="N32" s="65"/>
      <c r="O32" s="65"/>
      <c r="P32" s="56"/>
      <c r="Q32" s="207"/>
      <c r="R32" s="207"/>
    </row>
    <row r="33" spans="1:18" s="185" customFormat="1" ht="33" hidden="1" customHeight="1" outlineLevel="3" thickBot="1">
      <c r="A33" s="442" t="s">
        <v>168</v>
      </c>
      <c r="B33" s="431" t="s">
        <v>351</v>
      </c>
      <c r="C33" s="432"/>
      <c r="D33" s="432"/>
      <c r="E33" s="432"/>
      <c r="F33" s="433" t="s">
        <v>257</v>
      </c>
      <c r="G33" s="433" t="s">
        <v>75</v>
      </c>
      <c r="H33" s="444"/>
      <c r="I33" s="435">
        <v>155974</v>
      </c>
      <c r="J33" s="452">
        <v>311948</v>
      </c>
      <c r="K33" s="111">
        <f>ROUND(IF(VALUE(Калькулятор!$E$10)&gt;150,J33,I33),2)</f>
        <v>155974</v>
      </c>
      <c r="L33" s="56" t="str">
        <f t="shared" si="1"/>
        <v/>
      </c>
      <c r="M33" s="65">
        <f>PRODUCT(VALUE(K33),IF(H33="",0,VALUE(H33)))</f>
        <v>0</v>
      </c>
      <c r="N33" s="65"/>
      <c r="O33" s="65"/>
      <c r="P33" s="56"/>
      <c r="Q33" s="207"/>
      <c r="R33" s="207"/>
    </row>
    <row r="34" spans="1:18" s="185" customFormat="1" ht="33" hidden="1" customHeight="1" outlineLevel="3" thickBot="1">
      <c r="A34" s="442" t="s">
        <v>169</v>
      </c>
      <c r="B34" s="431" t="s">
        <v>352</v>
      </c>
      <c r="C34" s="432"/>
      <c r="D34" s="432"/>
      <c r="E34" s="432"/>
      <c r="F34" s="433" t="s">
        <v>257</v>
      </c>
      <c r="G34" s="433" t="s">
        <v>76</v>
      </c>
      <c r="H34" s="445"/>
      <c r="I34" s="435">
        <v>152818.5</v>
      </c>
      <c r="J34" s="453">
        <v>305637</v>
      </c>
      <c r="K34" s="111">
        <f>ROUND(IF(VALUE(Калькулятор!$E$10)&gt;150,J34,I34),2)</f>
        <v>152818.5</v>
      </c>
      <c r="L34" s="56" t="str">
        <f t="shared" si="1"/>
        <v/>
      </c>
      <c r="M34" s="65">
        <f>PRODUCT(VALUE(K34),IF(H34="",0,VALUE(H34)))</f>
        <v>0</v>
      </c>
      <c r="N34" s="65"/>
      <c r="O34" s="65"/>
      <c r="P34" s="56"/>
      <c r="Q34" s="184"/>
      <c r="R34" s="184"/>
    </row>
    <row r="35" spans="1:18" s="185" customFormat="1" ht="33" customHeight="1" outlineLevel="2" thickBot="1">
      <c r="A35" s="439" t="s">
        <v>258</v>
      </c>
      <c r="B35" s="552" t="s">
        <v>259</v>
      </c>
      <c r="C35" s="553"/>
      <c r="D35" s="553"/>
      <c r="E35" s="553"/>
      <c r="F35" s="553"/>
      <c r="G35" s="553"/>
      <c r="H35" s="440"/>
      <c r="I35" s="440"/>
      <c r="J35" s="441"/>
      <c r="K35" s="112" t="s">
        <v>241</v>
      </c>
      <c r="L35" s="56" t="str">
        <f t="shared" si="1"/>
        <v/>
      </c>
      <c r="M35" s="65"/>
      <c r="N35" s="65"/>
      <c r="O35" s="65"/>
      <c r="P35" s="56"/>
      <c r="Q35" s="184"/>
      <c r="R35" s="184"/>
    </row>
    <row r="36" spans="1:18" s="185" customFormat="1" ht="33" customHeight="1" outlineLevel="3" thickBot="1">
      <c r="A36" s="442" t="s">
        <v>170</v>
      </c>
      <c r="B36" s="431" t="s">
        <v>440</v>
      </c>
      <c r="C36" s="432"/>
      <c r="D36" s="432"/>
      <c r="E36" s="432"/>
      <c r="F36" s="433" t="s">
        <v>257</v>
      </c>
      <c r="G36" s="433" t="s">
        <v>77</v>
      </c>
      <c r="H36" s="448"/>
      <c r="I36" s="435">
        <v>137698</v>
      </c>
      <c r="J36" s="451">
        <v>275396</v>
      </c>
      <c r="K36" s="111">
        <f>ROUND(IF(VALUE(Калькулятор!$E$10)&gt;150,J36,I36),2)</f>
        <v>137698</v>
      </c>
      <c r="L36" s="56" t="str">
        <f t="shared" si="1"/>
        <v/>
      </c>
      <c r="M36" s="65">
        <f>PRODUCT(VALUE(K36),IF(H36="",0,VALUE(H36)))</f>
        <v>0</v>
      </c>
      <c r="N36" s="65"/>
      <c r="O36" s="65"/>
      <c r="P36" s="56"/>
      <c r="Q36" s="184"/>
      <c r="R36" s="184"/>
    </row>
    <row r="37" spans="1:18" s="185" customFormat="1" ht="33" hidden="1" customHeight="1" outlineLevel="3" thickBot="1">
      <c r="A37" s="442" t="s">
        <v>171</v>
      </c>
      <c r="B37" s="431" t="s">
        <v>353</v>
      </c>
      <c r="C37" s="432"/>
      <c r="D37" s="432"/>
      <c r="E37" s="432"/>
      <c r="F37" s="433" t="s">
        <v>257</v>
      </c>
      <c r="G37" s="433" t="s">
        <v>78</v>
      </c>
      <c r="H37" s="444"/>
      <c r="I37" s="435">
        <v>144583.5</v>
      </c>
      <c r="J37" s="452">
        <v>289167</v>
      </c>
      <c r="K37" s="111">
        <f>ROUND(IF(VALUE(Калькулятор!$E$10)&gt;150,J37,I37),2)</f>
        <v>144583.5</v>
      </c>
      <c r="L37" s="56" t="str">
        <f t="shared" si="1"/>
        <v/>
      </c>
      <c r="M37" s="65">
        <f>PRODUCT(VALUE(K37),IF(H37="",0,VALUE(H37)))</f>
        <v>0</v>
      </c>
      <c r="N37" s="65"/>
      <c r="O37" s="65"/>
      <c r="P37" s="56"/>
      <c r="Q37" s="184"/>
      <c r="R37" s="184"/>
    </row>
    <row r="38" spans="1:18" s="185" customFormat="1" ht="33" hidden="1" customHeight="1" outlineLevel="3" thickBot="1">
      <c r="A38" s="442" t="s">
        <v>172</v>
      </c>
      <c r="B38" s="431" t="s">
        <v>354</v>
      </c>
      <c r="C38" s="432"/>
      <c r="D38" s="432"/>
      <c r="E38" s="432"/>
      <c r="F38" s="433" t="s">
        <v>257</v>
      </c>
      <c r="G38" s="433" t="s">
        <v>79</v>
      </c>
      <c r="H38" s="444"/>
      <c r="I38" s="435">
        <v>153992</v>
      </c>
      <c r="J38" s="452">
        <v>307984</v>
      </c>
      <c r="K38" s="111">
        <f>ROUND(IF(VALUE(Калькулятор!$E$10)&gt;150,J38,I38),2)</f>
        <v>153992</v>
      </c>
      <c r="L38" s="56" t="str">
        <f t="shared" si="1"/>
        <v/>
      </c>
      <c r="M38" s="65">
        <f>PRODUCT(VALUE(K38),IF(H38="",0,VALUE(H38)))</f>
        <v>0</v>
      </c>
      <c r="N38" s="65"/>
      <c r="O38" s="65"/>
      <c r="P38" s="56"/>
      <c r="Q38" s="184"/>
      <c r="R38" s="184"/>
    </row>
    <row r="39" spans="1:18" s="185" customFormat="1" ht="33" hidden="1" customHeight="1" outlineLevel="3" thickBot="1">
      <c r="A39" s="442" t="s">
        <v>173</v>
      </c>
      <c r="B39" s="431" t="s">
        <v>355</v>
      </c>
      <c r="C39" s="432"/>
      <c r="D39" s="432"/>
      <c r="E39" s="432"/>
      <c r="F39" s="433" t="s">
        <v>257</v>
      </c>
      <c r="G39" s="433" t="s">
        <v>80</v>
      </c>
      <c r="H39" s="445"/>
      <c r="I39" s="435">
        <v>166412</v>
      </c>
      <c r="J39" s="453">
        <v>332824</v>
      </c>
      <c r="K39" s="111">
        <f>ROUND(IF(VALUE(Калькулятор!$E$10)&gt;150,J39,I39),2)</f>
        <v>166412</v>
      </c>
      <c r="L39" s="56" t="str">
        <f t="shared" si="1"/>
        <v/>
      </c>
      <c r="M39" s="65">
        <f>PRODUCT(VALUE(K39),IF(H39="",0,VALUE(H39)))</f>
        <v>0</v>
      </c>
      <c r="N39" s="65"/>
      <c r="O39" s="65"/>
      <c r="P39" s="56"/>
      <c r="Q39" s="184"/>
      <c r="R39" s="184"/>
    </row>
    <row r="40" spans="1:18" s="185" customFormat="1" ht="33" customHeight="1" outlineLevel="2" collapsed="1" thickBot="1">
      <c r="A40" s="439" t="s">
        <v>260</v>
      </c>
      <c r="B40" s="554" t="s">
        <v>261</v>
      </c>
      <c r="C40" s="555"/>
      <c r="D40" s="555"/>
      <c r="E40" s="555"/>
      <c r="F40" s="555"/>
      <c r="G40" s="555"/>
      <c r="H40" s="440"/>
      <c r="I40" s="440"/>
      <c r="J40" s="441"/>
      <c r="K40" s="112" t="s">
        <v>241</v>
      </c>
      <c r="L40" s="56" t="str">
        <f t="shared" si="1"/>
        <v/>
      </c>
      <c r="M40" s="65"/>
      <c r="N40" s="65"/>
      <c r="O40" s="65"/>
      <c r="P40" s="56"/>
      <c r="Q40" s="184"/>
      <c r="R40" s="184"/>
    </row>
    <row r="41" spans="1:18" s="220" customFormat="1" ht="33" hidden="1" customHeight="1" outlineLevel="3" thickBot="1">
      <c r="A41" s="442" t="s">
        <v>174</v>
      </c>
      <c r="B41" s="431" t="s">
        <v>356</v>
      </c>
      <c r="C41" s="432"/>
      <c r="D41" s="432"/>
      <c r="E41" s="432"/>
      <c r="F41" s="433" t="s">
        <v>257</v>
      </c>
      <c r="G41" s="433" t="s">
        <v>77</v>
      </c>
      <c r="H41" s="434"/>
      <c r="I41" s="435">
        <v>84115.5</v>
      </c>
      <c r="J41" s="435">
        <v>168231</v>
      </c>
      <c r="K41" s="111">
        <f>ROUND(IF(VALUE(Калькулятор!$E$10)&gt;150,J41,I41),2)</f>
        <v>84115.5</v>
      </c>
      <c r="L41" s="56" t="str">
        <f t="shared" si="1"/>
        <v/>
      </c>
      <c r="M41" s="65">
        <f>PRODUCT(VALUE(K41),IF(H41="",0,VALUE(H41)))</f>
        <v>0</v>
      </c>
      <c r="N41" s="65"/>
      <c r="O41" s="65"/>
      <c r="P41" s="56"/>
      <c r="Q41" s="184"/>
      <c r="R41" s="184"/>
    </row>
    <row r="42" spans="1:18" s="220" customFormat="1" ht="33" hidden="1" customHeight="1" outlineLevel="3" thickBot="1">
      <c r="A42" s="442" t="s">
        <v>175</v>
      </c>
      <c r="B42" s="431" t="s">
        <v>357</v>
      </c>
      <c r="C42" s="432"/>
      <c r="D42" s="432"/>
      <c r="E42" s="432"/>
      <c r="F42" s="433" t="s">
        <v>257</v>
      </c>
      <c r="G42" s="433" t="s">
        <v>79</v>
      </c>
      <c r="H42" s="437"/>
      <c r="I42" s="435">
        <v>104372.5</v>
      </c>
      <c r="J42" s="436">
        <v>208745</v>
      </c>
      <c r="K42" s="111">
        <f>ROUND(IF(VALUE(Калькулятор!$E$10)&gt;150,J42,I42),2)</f>
        <v>104372.5</v>
      </c>
      <c r="L42" s="56" t="str">
        <f t="shared" si="1"/>
        <v/>
      </c>
      <c r="M42" s="65">
        <f>PRODUCT(VALUE(K42),IF(H42="",0,VALUE(H42)))</f>
        <v>0</v>
      </c>
      <c r="N42" s="65"/>
      <c r="O42" s="65"/>
      <c r="P42" s="56"/>
      <c r="Q42" s="184"/>
      <c r="R42" s="184"/>
    </row>
    <row r="43" spans="1:18" s="220" customFormat="1" ht="33" hidden="1" customHeight="1" outlineLevel="3" thickBot="1">
      <c r="A43" s="442" t="s">
        <v>176</v>
      </c>
      <c r="B43" s="431" t="s">
        <v>358</v>
      </c>
      <c r="C43" s="432"/>
      <c r="D43" s="432"/>
      <c r="E43" s="432"/>
      <c r="F43" s="433" t="s">
        <v>257</v>
      </c>
      <c r="G43" s="433" t="s">
        <v>80</v>
      </c>
      <c r="H43" s="437"/>
      <c r="I43" s="435">
        <v>116792.5</v>
      </c>
      <c r="J43" s="436">
        <v>233585</v>
      </c>
      <c r="K43" s="111">
        <f>ROUND(IF(VALUE(Калькулятор!$E$10)&gt;150,J43,I43),2)</f>
        <v>116792.5</v>
      </c>
      <c r="L43" s="56" t="str">
        <f t="shared" si="1"/>
        <v/>
      </c>
      <c r="M43" s="65">
        <f>PRODUCT(VALUE(K43),IF(H43="",0,VALUE(H43)))</f>
        <v>0</v>
      </c>
      <c r="N43" s="65"/>
      <c r="O43" s="65"/>
      <c r="P43" s="56"/>
      <c r="Q43" s="184"/>
      <c r="R43" s="184"/>
    </row>
    <row r="44" spans="1:18" s="185" customFormat="1" ht="66" hidden="1" customHeight="1" thickBot="1">
      <c r="A44" s="439"/>
      <c r="B44" s="454"/>
      <c r="C44" s="455"/>
      <c r="D44" s="455"/>
      <c r="E44" s="455"/>
      <c r="F44" s="456"/>
      <c r="G44" s="456"/>
      <c r="H44" s="457"/>
      <c r="I44" s="419"/>
      <c r="J44" s="419"/>
      <c r="K44" s="112"/>
      <c r="L44" s="56" t="str">
        <f t="shared" si="1"/>
        <v/>
      </c>
      <c r="M44" s="65"/>
      <c r="N44" s="65"/>
      <c r="O44" s="65"/>
      <c r="P44" s="56"/>
      <c r="Q44" s="184"/>
      <c r="R44" s="184"/>
    </row>
    <row r="45" spans="1:18" s="185" customFormat="1" ht="30" customHeight="1" thickBot="1">
      <c r="A45" s="458" t="s">
        <v>262</v>
      </c>
      <c r="B45" s="459" t="s">
        <v>81</v>
      </c>
      <c r="C45" s="460"/>
      <c r="D45" s="460"/>
      <c r="E45" s="460"/>
      <c r="F45" s="461" t="s">
        <v>241</v>
      </c>
      <c r="G45" s="461" t="s">
        <v>241</v>
      </c>
      <c r="H45" s="462" t="s">
        <v>333</v>
      </c>
      <c r="I45" s="463" t="s">
        <v>241</v>
      </c>
      <c r="J45" s="464"/>
      <c r="K45" s="112" t="s">
        <v>241</v>
      </c>
      <c r="L45" s="67" t="str">
        <f>IF(VALUE(T4)&gt;0,"да","нет")</f>
        <v>нет</v>
      </c>
      <c r="M45" s="65"/>
      <c r="N45" s="65"/>
      <c r="O45" s="65"/>
      <c r="P45" s="56"/>
      <c r="Q45" s="207"/>
      <c r="R45" s="207"/>
    </row>
    <row r="46" spans="1:18" s="185" customFormat="1" ht="33" customHeight="1" outlineLevel="1" collapsed="1" thickBot="1">
      <c r="A46" s="439" t="s">
        <v>263</v>
      </c>
      <c r="B46" s="552" t="s">
        <v>82</v>
      </c>
      <c r="C46" s="558"/>
      <c r="D46" s="558"/>
      <c r="E46" s="558"/>
      <c r="F46" s="558"/>
      <c r="G46" s="558"/>
      <c r="H46" s="465"/>
      <c r="I46" s="466">
        <v>135093</v>
      </c>
      <c r="J46" s="467">
        <v>270186</v>
      </c>
      <c r="K46" s="112" t="s">
        <v>241</v>
      </c>
      <c r="L46" s="56" t="str">
        <f t="shared" ref="L46:L70" si="2">CONCATENATE(H46)</f>
        <v/>
      </c>
      <c r="M46" s="65"/>
      <c r="N46" s="65"/>
      <c r="O46" s="65"/>
      <c r="P46" s="56"/>
      <c r="Q46" s="207"/>
      <c r="R46" s="207"/>
    </row>
    <row r="47" spans="1:18" s="185" customFormat="1" ht="33" hidden="1" customHeight="1" outlineLevel="2" collapsed="1" thickBot="1">
      <c r="A47" s="414" t="s">
        <v>264</v>
      </c>
      <c r="B47" s="468" t="s">
        <v>148</v>
      </c>
      <c r="C47" s="469"/>
      <c r="D47" s="469"/>
      <c r="E47" s="469"/>
      <c r="F47" s="470"/>
      <c r="G47" s="470"/>
      <c r="H47" s="471"/>
      <c r="I47" s="472" t="s">
        <v>241</v>
      </c>
      <c r="J47" s="473"/>
      <c r="K47" s="228" t="s">
        <v>241</v>
      </c>
      <c r="L47" s="56" t="str">
        <f t="shared" si="2"/>
        <v/>
      </c>
      <c r="M47" s="65"/>
      <c r="N47" s="65"/>
      <c r="O47" s="65"/>
      <c r="P47" s="56"/>
      <c r="Q47" s="207"/>
      <c r="R47" s="207"/>
    </row>
    <row r="48" spans="1:18" s="185" customFormat="1" ht="33" hidden="1" customHeight="1" outlineLevel="3" thickBot="1">
      <c r="A48" s="442" t="s">
        <v>177</v>
      </c>
      <c r="B48" s="474" t="s">
        <v>359</v>
      </c>
      <c r="C48" s="475"/>
      <c r="D48" s="475"/>
      <c r="E48" s="475"/>
      <c r="F48" s="476" t="s">
        <v>265</v>
      </c>
      <c r="G48" s="477" t="s">
        <v>267</v>
      </c>
      <c r="H48" s="513"/>
      <c r="I48" s="478">
        <v>155021.5</v>
      </c>
      <c r="J48" s="479">
        <v>310043</v>
      </c>
      <c r="K48" s="111">
        <f>ROUND(IF(VALUE(Калькулятор!$E$10)&gt;150,J48,I48),2)</f>
        <v>155021.5</v>
      </c>
      <c r="L48" s="56" t="str">
        <f t="shared" si="2"/>
        <v/>
      </c>
      <c r="M48" s="65">
        <f>PRODUCT(VALUE(K48),IF(H48="",0,VALUE(H48)))</f>
        <v>0</v>
      </c>
      <c r="N48" s="65"/>
      <c r="O48" s="65"/>
      <c r="P48" s="56"/>
      <c r="Q48" s="184"/>
      <c r="R48" s="184"/>
    </row>
    <row r="49" spans="1:18" s="185" customFormat="1" ht="33" hidden="1" customHeight="1" outlineLevel="3" thickBot="1">
      <c r="A49" s="442" t="s">
        <v>178</v>
      </c>
      <c r="B49" s="474" t="s">
        <v>360</v>
      </c>
      <c r="C49" s="480"/>
      <c r="D49" s="480"/>
      <c r="E49" s="480"/>
      <c r="F49" s="433" t="s">
        <v>265</v>
      </c>
      <c r="G49" s="443" t="s">
        <v>268</v>
      </c>
      <c r="H49" s="514"/>
      <c r="I49" s="478">
        <v>168816</v>
      </c>
      <c r="J49" s="479">
        <v>337632</v>
      </c>
      <c r="K49" s="111">
        <f>ROUND(IF(VALUE(Калькулятор!$E$10)&gt;150,J49,I49),2)</f>
        <v>168816</v>
      </c>
      <c r="L49" s="56" t="str">
        <f t="shared" si="2"/>
        <v/>
      </c>
      <c r="M49" s="65">
        <f>PRODUCT(VALUE(K49),IF(H49="",0,VALUE(H49)))</f>
        <v>0</v>
      </c>
      <c r="N49" s="65"/>
      <c r="O49" s="65"/>
      <c r="P49" s="56"/>
      <c r="Q49" s="184"/>
      <c r="R49" s="184"/>
    </row>
    <row r="50" spans="1:18" s="185" customFormat="1" ht="33" hidden="1" customHeight="1" outlineLevel="3" thickBot="1">
      <c r="A50" s="442" t="s">
        <v>179</v>
      </c>
      <c r="B50" s="474" t="s">
        <v>361</v>
      </c>
      <c r="C50" s="480"/>
      <c r="D50" s="480"/>
      <c r="E50" s="480"/>
      <c r="F50" s="433" t="s">
        <v>265</v>
      </c>
      <c r="G50" s="443" t="s">
        <v>269</v>
      </c>
      <c r="H50" s="514"/>
      <c r="I50" s="478">
        <v>182536.5</v>
      </c>
      <c r="J50" s="479">
        <v>365073</v>
      </c>
      <c r="K50" s="111">
        <f>ROUND(IF(VALUE(Калькулятор!$E$10)&gt;150,J50,I50),2)</f>
        <v>182536.5</v>
      </c>
      <c r="L50" s="56" t="str">
        <f t="shared" si="2"/>
        <v/>
      </c>
      <c r="M50" s="65">
        <f>PRODUCT(VALUE(K50),IF(H50="",0,VALUE(H50)))</f>
        <v>0</v>
      </c>
      <c r="N50" s="65"/>
      <c r="O50" s="65"/>
      <c r="P50" s="56"/>
      <c r="Q50" s="184"/>
      <c r="R50" s="184"/>
    </row>
    <row r="51" spans="1:18" s="185" customFormat="1" ht="33" hidden="1" customHeight="1" outlineLevel="3" thickBot="1">
      <c r="A51" s="442" t="s">
        <v>180</v>
      </c>
      <c r="B51" s="474" t="s">
        <v>362</v>
      </c>
      <c r="C51" s="481"/>
      <c r="D51" s="481"/>
      <c r="E51" s="481"/>
      <c r="F51" s="482" t="s">
        <v>265</v>
      </c>
      <c r="G51" s="483" t="s">
        <v>270</v>
      </c>
      <c r="H51" s="515"/>
      <c r="I51" s="478">
        <v>246817</v>
      </c>
      <c r="J51" s="479">
        <v>493634</v>
      </c>
      <c r="K51" s="111">
        <f>ROUND(IF(VALUE(Калькулятор!$E$10)&gt;150,J51,I51),2)</f>
        <v>246817</v>
      </c>
      <c r="L51" s="56" t="str">
        <f t="shared" si="2"/>
        <v/>
      </c>
      <c r="M51" s="65">
        <f>PRODUCT(VALUE(K51),IF(H51="",0,VALUE(H51)))</f>
        <v>0</v>
      </c>
      <c r="N51" s="65"/>
      <c r="O51" s="65"/>
      <c r="P51" s="56"/>
      <c r="Q51" s="184"/>
      <c r="R51" s="184"/>
    </row>
    <row r="52" spans="1:18" s="185" customFormat="1" ht="33" hidden="1" customHeight="1" outlineLevel="2" collapsed="1" thickBot="1">
      <c r="A52" s="414" t="s">
        <v>266</v>
      </c>
      <c r="B52" s="468" t="s">
        <v>150</v>
      </c>
      <c r="C52" s="469"/>
      <c r="D52" s="469"/>
      <c r="E52" s="469"/>
      <c r="F52" s="470"/>
      <c r="G52" s="470"/>
      <c r="H52" s="471"/>
      <c r="I52" s="484"/>
      <c r="J52" s="473"/>
      <c r="K52" s="228" t="s">
        <v>241</v>
      </c>
      <c r="L52" s="56" t="str">
        <f t="shared" si="2"/>
        <v/>
      </c>
      <c r="M52" s="65"/>
      <c r="N52" s="65"/>
      <c r="O52" s="65"/>
      <c r="P52" s="56"/>
      <c r="Q52" s="184"/>
      <c r="R52" s="184"/>
    </row>
    <row r="53" spans="1:18" s="185" customFormat="1" ht="33" hidden="1" customHeight="1" outlineLevel="3" thickBot="1">
      <c r="A53" s="442" t="s">
        <v>181</v>
      </c>
      <c r="B53" s="474" t="s">
        <v>363</v>
      </c>
      <c r="C53" s="475"/>
      <c r="D53" s="475"/>
      <c r="E53" s="475"/>
      <c r="F53" s="476" t="s">
        <v>265</v>
      </c>
      <c r="G53" s="477" t="s">
        <v>272</v>
      </c>
      <c r="H53" s="513"/>
      <c r="I53" s="478">
        <v>241700</v>
      </c>
      <c r="J53" s="479">
        <v>483400</v>
      </c>
      <c r="K53" s="111">
        <f>ROUND(IF(VALUE(Калькулятор!$E$10)&gt;150,J53,I53),2)</f>
        <v>241700</v>
      </c>
      <c r="L53" s="56" t="str">
        <f t="shared" si="2"/>
        <v/>
      </c>
      <c r="M53" s="65">
        <f>PRODUCT(VALUE(K53),IF(H53="",0,VALUE(H53)))</f>
        <v>0</v>
      </c>
      <c r="N53" s="65"/>
      <c r="O53" s="65"/>
      <c r="P53" s="56"/>
      <c r="Q53" s="184"/>
      <c r="R53" s="184"/>
    </row>
    <row r="54" spans="1:18" s="185" customFormat="1" ht="33" hidden="1" customHeight="1" outlineLevel="3" thickBot="1">
      <c r="A54" s="442" t="s">
        <v>182</v>
      </c>
      <c r="B54" s="474" t="s">
        <v>364</v>
      </c>
      <c r="C54" s="480"/>
      <c r="D54" s="480"/>
      <c r="E54" s="480"/>
      <c r="F54" s="433" t="s">
        <v>265</v>
      </c>
      <c r="G54" s="443" t="s">
        <v>272</v>
      </c>
      <c r="H54" s="514"/>
      <c r="I54" s="478">
        <v>352837</v>
      </c>
      <c r="J54" s="479">
        <v>705674</v>
      </c>
      <c r="K54" s="111">
        <f>ROUND(IF(VALUE(Калькулятор!$E$10)&gt;150,J54,I54),2)</f>
        <v>352837</v>
      </c>
      <c r="L54" s="56" t="str">
        <f t="shared" si="2"/>
        <v/>
      </c>
      <c r="M54" s="65">
        <f>PRODUCT(VALUE(K54),IF(H54="",0,VALUE(H54)))</f>
        <v>0</v>
      </c>
      <c r="N54" s="65"/>
      <c r="O54" s="65"/>
      <c r="P54" s="56"/>
      <c r="Q54" s="184"/>
      <c r="R54" s="184"/>
    </row>
    <row r="55" spans="1:18" s="185" customFormat="1" ht="33" hidden="1" customHeight="1" outlineLevel="3" thickBot="1">
      <c r="A55" s="442" t="s">
        <v>183</v>
      </c>
      <c r="B55" s="474" t="s">
        <v>365</v>
      </c>
      <c r="C55" s="480"/>
      <c r="D55" s="480"/>
      <c r="E55" s="480"/>
      <c r="F55" s="433" t="s">
        <v>265</v>
      </c>
      <c r="G55" s="443" t="s">
        <v>273</v>
      </c>
      <c r="H55" s="514"/>
      <c r="I55" s="478">
        <v>417057.5</v>
      </c>
      <c r="J55" s="479">
        <v>834115</v>
      </c>
      <c r="K55" s="111">
        <f>ROUND(IF(VALUE(Калькулятор!$E$10)&gt;150,J55,I55),2)</f>
        <v>417057.5</v>
      </c>
      <c r="L55" s="56" t="str">
        <f t="shared" si="2"/>
        <v/>
      </c>
      <c r="M55" s="65">
        <f>PRODUCT(VALUE(K55),IF(H55="",0,VALUE(H55)))</f>
        <v>0</v>
      </c>
      <c r="N55" s="65"/>
      <c r="O55" s="65"/>
      <c r="P55" s="56"/>
      <c r="Q55" s="184"/>
      <c r="R55" s="184"/>
    </row>
    <row r="56" spans="1:18" s="185" customFormat="1" ht="33" hidden="1" customHeight="1" outlineLevel="3" thickBot="1">
      <c r="A56" s="442" t="s">
        <v>184</v>
      </c>
      <c r="B56" s="474" t="s">
        <v>366</v>
      </c>
      <c r="C56" s="481"/>
      <c r="D56" s="481"/>
      <c r="E56" s="481"/>
      <c r="F56" s="482" t="s">
        <v>265</v>
      </c>
      <c r="G56" s="483" t="s">
        <v>274</v>
      </c>
      <c r="H56" s="515"/>
      <c r="I56" s="478">
        <v>689208.5</v>
      </c>
      <c r="J56" s="479">
        <v>1378417</v>
      </c>
      <c r="K56" s="111">
        <f>ROUND(IF(VALUE(Калькулятор!$E$10)&gt;150,J56,I56),2)</f>
        <v>689208.5</v>
      </c>
      <c r="L56" s="56" t="str">
        <f t="shared" si="2"/>
        <v/>
      </c>
      <c r="M56" s="65">
        <f>PRODUCT(VALUE(K56),IF(H56="",0,VALUE(H56)))</f>
        <v>0</v>
      </c>
      <c r="N56" s="65"/>
      <c r="O56" s="65"/>
      <c r="P56" s="56"/>
      <c r="Q56" s="184"/>
      <c r="R56" s="184"/>
    </row>
    <row r="57" spans="1:18" s="185" customFormat="1" ht="33" hidden="1" customHeight="1" outlineLevel="2" collapsed="1" thickBot="1">
      <c r="A57" s="439" t="s">
        <v>271</v>
      </c>
      <c r="B57" s="468" t="s">
        <v>83</v>
      </c>
      <c r="C57" s="469"/>
      <c r="D57" s="469"/>
      <c r="E57" s="469"/>
      <c r="F57" s="470"/>
      <c r="G57" s="470"/>
      <c r="H57" s="471"/>
      <c r="I57" s="484"/>
      <c r="J57" s="473"/>
      <c r="K57" s="228" t="s">
        <v>241</v>
      </c>
      <c r="L57" s="56" t="str">
        <f t="shared" si="2"/>
        <v/>
      </c>
      <c r="M57" s="65"/>
      <c r="N57" s="65"/>
      <c r="O57" s="65"/>
      <c r="P57" s="56"/>
      <c r="Q57" s="184"/>
      <c r="R57" s="184"/>
    </row>
    <row r="58" spans="1:18" s="185" customFormat="1" ht="33" hidden="1" customHeight="1" outlineLevel="3" thickBot="1">
      <c r="A58" s="442" t="s">
        <v>185</v>
      </c>
      <c r="B58" s="474" t="s">
        <v>275</v>
      </c>
      <c r="C58" s="475"/>
      <c r="D58" s="475"/>
      <c r="E58" s="475"/>
      <c r="F58" s="476" t="s">
        <v>276</v>
      </c>
      <c r="G58" s="477" t="s">
        <v>277</v>
      </c>
      <c r="H58" s="516"/>
      <c r="I58" s="478">
        <v>333277.5</v>
      </c>
      <c r="J58" s="479">
        <v>666555</v>
      </c>
      <c r="K58" s="111">
        <f>ROUND(IF(VALUE(Калькулятор!$E$10)&gt;150,J58,I58),2)</f>
        <v>333277.5</v>
      </c>
      <c r="L58" s="56" t="str">
        <f t="shared" si="2"/>
        <v/>
      </c>
      <c r="M58" s="65">
        <f>PRODUCT(VALUE(K58),IF(H58="",0,VALUE(H58)))</f>
        <v>0</v>
      </c>
      <c r="N58" s="65"/>
      <c r="O58" s="65"/>
      <c r="P58" s="56"/>
      <c r="Q58" s="229" t="str">
        <f>IF(VALUE(H58)&gt;0,IF(OR(VALUE($T$4)&gt;0,VALUE($T$6)&gt;0)," ","Выберите кабельную линию!")," ")</f>
        <v xml:space="preserve"> </v>
      </c>
      <c r="R58" s="184"/>
    </row>
    <row r="59" spans="1:18" s="185" customFormat="1" ht="33" customHeight="1" outlineLevel="1" collapsed="1" thickBot="1">
      <c r="A59" s="439" t="s">
        <v>278</v>
      </c>
      <c r="B59" s="552" t="s">
        <v>84</v>
      </c>
      <c r="C59" s="558"/>
      <c r="D59" s="558"/>
      <c r="E59" s="558"/>
      <c r="F59" s="558"/>
      <c r="G59" s="558"/>
      <c r="H59" s="440"/>
      <c r="I59" s="466">
        <v>61160.5</v>
      </c>
      <c r="J59" s="473">
        <v>122321</v>
      </c>
      <c r="K59" s="112" t="s">
        <v>241</v>
      </c>
      <c r="L59" s="56" t="str">
        <f t="shared" si="2"/>
        <v/>
      </c>
      <c r="M59" s="65"/>
      <c r="N59" s="65"/>
      <c r="O59" s="65"/>
      <c r="P59" s="56"/>
      <c r="Q59" s="184"/>
      <c r="R59" s="184"/>
    </row>
    <row r="60" spans="1:18" s="185" customFormat="1" ht="33" hidden="1" customHeight="1" outlineLevel="2" collapsed="1" thickBot="1">
      <c r="A60" s="439" t="s">
        <v>279</v>
      </c>
      <c r="B60" s="468" t="s">
        <v>151</v>
      </c>
      <c r="C60" s="469"/>
      <c r="D60" s="469"/>
      <c r="E60" s="469"/>
      <c r="F60" s="470"/>
      <c r="G60" s="470"/>
      <c r="H60" s="471"/>
      <c r="I60" s="485"/>
      <c r="J60" s="486"/>
      <c r="K60" s="228" t="s">
        <v>241</v>
      </c>
      <c r="L60" s="56" t="str">
        <f t="shared" si="2"/>
        <v/>
      </c>
      <c r="M60" s="65"/>
      <c r="N60" s="65"/>
      <c r="O60" s="65"/>
      <c r="P60" s="56"/>
      <c r="Q60" s="184"/>
      <c r="R60" s="184"/>
    </row>
    <row r="61" spans="1:18" s="185" customFormat="1" ht="33" hidden="1" customHeight="1" outlineLevel="3" thickBot="1">
      <c r="A61" s="442" t="s">
        <v>186</v>
      </c>
      <c r="B61" s="431" t="s">
        <v>367</v>
      </c>
      <c r="C61" s="487"/>
      <c r="D61" s="487"/>
      <c r="E61" s="487"/>
      <c r="F61" s="476" t="s">
        <v>280</v>
      </c>
      <c r="G61" s="476" t="s">
        <v>281</v>
      </c>
      <c r="H61" s="434"/>
      <c r="I61" s="435">
        <v>332114.5</v>
      </c>
      <c r="J61" s="488">
        <v>664229</v>
      </c>
      <c r="K61" s="111">
        <f>ROUND(IF(VALUE(Калькулятор!$E$10)&gt;150,J61,I61),2)</f>
        <v>332114.5</v>
      </c>
      <c r="L61" s="56" t="str">
        <f t="shared" si="2"/>
        <v/>
      </c>
      <c r="M61" s="65">
        <f>PRODUCT(VALUE(K61),IF(H61="",0,VALUE(H61)))</f>
        <v>0</v>
      </c>
      <c r="N61" s="65"/>
      <c r="O61" s="65"/>
      <c r="P61" s="56"/>
      <c r="Q61" s="184"/>
      <c r="R61" s="184"/>
    </row>
    <row r="62" spans="1:18" s="185" customFormat="1" ht="33" hidden="1" customHeight="1" outlineLevel="3" thickBot="1">
      <c r="A62" s="442" t="s">
        <v>187</v>
      </c>
      <c r="B62" s="431" t="s">
        <v>368</v>
      </c>
      <c r="C62" s="432"/>
      <c r="D62" s="432"/>
      <c r="E62" s="432"/>
      <c r="F62" s="433" t="s">
        <v>280</v>
      </c>
      <c r="G62" s="433" t="s">
        <v>282</v>
      </c>
      <c r="H62" s="437"/>
      <c r="I62" s="435">
        <v>371686</v>
      </c>
      <c r="J62" s="489">
        <v>743372</v>
      </c>
      <c r="K62" s="111">
        <f>ROUND(IF(VALUE(Калькулятор!$E$10)&gt;150,J62,I62),2)</f>
        <v>371686</v>
      </c>
      <c r="L62" s="56" t="str">
        <f t="shared" si="2"/>
        <v/>
      </c>
      <c r="M62" s="65">
        <f>PRODUCT(VALUE(K62),IF(H62="",0,VALUE(H62)))</f>
        <v>0</v>
      </c>
      <c r="N62" s="65"/>
      <c r="O62" s="65"/>
      <c r="P62" s="56"/>
      <c r="Q62" s="184"/>
      <c r="R62" s="184"/>
    </row>
    <row r="63" spans="1:18" s="185" customFormat="1" ht="33" hidden="1" customHeight="1" outlineLevel="3" thickBot="1">
      <c r="A63" s="442" t="s">
        <v>188</v>
      </c>
      <c r="B63" s="431" t="s">
        <v>415</v>
      </c>
      <c r="C63" s="432"/>
      <c r="D63" s="432"/>
      <c r="E63" s="432"/>
      <c r="F63" s="433" t="s">
        <v>280</v>
      </c>
      <c r="G63" s="433" t="s">
        <v>283</v>
      </c>
      <c r="H63" s="437"/>
      <c r="I63" s="435">
        <v>421095.5</v>
      </c>
      <c r="J63" s="489">
        <v>842191</v>
      </c>
      <c r="K63" s="111">
        <f>ROUND(IF(VALUE(Калькулятор!$E$10)&gt;150,J63,I63),2)</f>
        <v>421095.5</v>
      </c>
      <c r="L63" s="56" t="str">
        <f t="shared" si="2"/>
        <v/>
      </c>
      <c r="M63" s="65">
        <f>PRODUCT(VALUE(K63),IF(H63="",0,VALUE(H63)))</f>
        <v>0</v>
      </c>
      <c r="N63" s="65"/>
      <c r="O63" s="65"/>
      <c r="P63" s="56"/>
      <c r="Q63" s="184"/>
      <c r="R63" s="230"/>
    </row>
    <row r="64" spans="1:18" s="185" customFormat="1" ht="33" hidden="1" customHeight="1" outlineLevel="3" thickBot="1">
      <c r="A64" s="442" t="s">
        <v>189</v>
      </c>
      <c r="B64" s="431" t="s">
        <v>369</v>
      </c>
      <c r="C64" s="432"/>
      <c r="D64" s="432"/>
      <c r="E64" s="432"/>
      <c r="F64" s="433" t="s">
        <v>280</v>
      </c>
      <c r="G64" s="433" t="s">
        <v>284</v>
      </c>
      <c r="H64" s="437"/>
      <c r="I64" s="435">
        <v>451441.5</v>
      </c>
      <c r="J64" s="489">
        <v>902883</v>
      </c>
      <c r="K64" s="111">
        <f>ROUND(IF(VALUE(Калькулятор!$E$10)&gt;150,J64,I64),2)</f>
        <v>451441.5</v>
      </c>
      <c r="L64" s="56" t="str">
        <f t="shared" si="2"/>
        <v/>
      </c>
      <c r="M64" s="65">
        <f>PRODUCT(VALUE(K64),IF(H64="",0,VALUE(H64)))</f>
        <v>0</v>
      </c>
      <c r="N64" s="65"/>
      <c r="O64" s="65"/>
      <c r="P64" s="56"/>
      <c r="Q64" s="184"/>
      <c r="R64" s="184"/>
    </row>
    <row r="65" spans="1:18" s="185" customFormat="1" ht="33" hidden="1" customHeight="1" outlineLevel="3" thickBot="1">
      <c r="A65" s="442" t="s">
        <v>190</v>
      </c>
      <c r="B65" s="431" t="s">
        <v>370</v>
      </c>
      <c r="C65" s="490"/>
      <c r="D65" s="490"/>
      <c r="E65" s="490"/>
      <c r="F65" s="482" t="s">
        <v>280</v>
      </c>
      <c r="G65" s="482" t="s">
        <v>285</v>
      </c>
      <c r="H65" s="438"/>
      <c r="I65" s="435">
        <v>485229.5</v>
      </c>
      <c r="J65" s="491">
        <v>970459</v>
      </c>
      <c r="K65" s="111">
        <f>ROUND(IF(VALUE(Калькулятор!$E$10)&gt;150,J65,I65),2)</f>
        <v>485229.5</v>
      </c>
      <c r="L65" s="56" t="str">
        <f t="shared" si="2"/>
        <v/>
      </c>
      <c r="M65" s="65">
        <f>PRODUCT(VALUE(K65),IF(H65="",0,VALUE(H65)))</f>
        <v>0</v>
      </c>
      <c r="N65" s="65"/>
      <c r="O65" s="65"/>
      <c r="P65" s="56"/>
      <c r="Q65" s="184"/>
      <c r="R65" s="184"/>
    </row>
    <row r="66" spans="1:18" s="185" customFormat="1" ht="33" hidden="1" customHeight="1" outlineLevel="2" collapsed="1" thickBot="1">
      <c r="A66" s="439" t="s">
        <v>286</v>
      </c>
      <c r="B66" s="468" t="s">
        <v>149</v>
      </c>
      <c r="C66" s="469"/>
      <c r="D66" s="469"/>
      <c r="E66" s="469"/>
      <c r="F66" s="470"/>
      <c r="G66" s="470"/>
      <c r="H66" s="471"/>
      <c r="I66" s="440"/>
      <c r="J66" s="492"/>
      <c r="K66" s="228" t="s">
        <v>241</v>
      </c>
      <c r="L66" s="56" t="str">
        <f t="shared" si="2"/>
        <v/>
      </c>
      <c r="M66" s="65"/>
      <c r="N66" s="65"/>
      <c r="O66" s="65"/>
      <c r="P66" s="56"/>
      <c r="Q66" s="184"/>
      <c r="R66" s="184"/>
    </row>
    <row r="67" spans="1:18" s="185" customFormat="1" ht="33" hidden="1" customHeight="1" outlineLevel="3" thickBot="1">
      <c r="A67" s="442" t="s">
        <v>191</v>
      </c>
      <c r="B67" s="431" t="s">
        <v>371</v>
      </c>
      <c r="C67" s="487"/>
      <c r="D67" s="487"/>
      <c r="E67" s="487"/>
      <c r="F67" s="476" t="s">
        <v>287</v>
      </c>
      <c r="G67" s="477" t="s">
        <v>288</v>
      </c>
      <c r="H67" s="493"/>
      <c r="I67" s="435">
        <v>351421.5</v>
      </c>
      <c r="J67" s="488">
        <v>702843</v>
      </c>
      <c r="K67" s="111">
        <f>ROUND(IF(VALUE(Калькулятор!$E$10)&gt;150,J67,I67),2)</f>
        <v>351421.5</v>
      </c>
      <c r="L67" s="56" t="str">
        <f t="shared" si="2"/>
        <v/>
      </c>
      <c r="M67" s="65">
        <f>PRODUCT(VALUE(K67),IF(H67="",0,VALUE(H67)))</f>
        <v>0</v>
      </c>
      <c r="N67" s="65"/>
      <c r="O67" s="65"/>
      <c r="P67" s="56"/>
      <c r="Q67" s="184"/>
      <c r="R67" s="184"/>
    </row>
    <row r="68" spans="1:18" s="185" customFormat="1" ht="33" hidden="1" customHeight="1" outlineLevel="3" thickBot="1">
      <c r="A68" s="442" t="s">
        <v>192</v>
      </c>
      <c r="B68" s="431" t="s">
        <v>372</v>
      </c>
      <c r="C68" s="490"/>
      <c r="D68" s="490"/>
      <c r="E68" s="490"/>
      <c r="F68" s="482" t="s">
        <v>287</v>
      </c>
      <c r="G68" s="483" t="s">
        <v>289</v>
      </c>
      <c r="H68" s="494"/>
      <c r="I68" s="435">
        <v>641360</v>
      </c>
      <c r="J68" s="491">
        <v>1282720</v>
      </c>
      <c r="K68" s="111">
        <f>ROUND(IF(VALUE(Калькулятор!$E$10)&gt;150,J68,I68),2)</f>
        <v>641360</v>
      </c>
      <c r="L68" s="56" t="str">
        <f t="shared" si="2"/>
        <v/>
      </c>
      <c r="M68" s="65">
        <f>PRODUCT(VALUE(K68),IF(H68="",0,VALUE(H68)))</f>
        <v>0</v>
      </c>
      <c r="N68" s="65"/>
      <c r="O68" s="65"/>
      <c r="P68" s="56"/>
      <c r="Q68" s="184"/>
      <c r="R68" s="184"/>
    </row>
    <row r="69" spans="1:18" s="185" customFormat="1" ht="33" hidden="1" customHeight="1" outlineLevel="2" collapsed="1" thickBot="1">
      <c r="A69" s="439" t="s">
        <v>290</v>
      </c>
      <c r="B69" s="468" t="s">
        <v>152</v>
      </c>
      <c r="C69" s="469"/>
      <c r="D69" s="469"/>
      <c r="E69" s="469"/>
      <c r="F69" s="470"/>
      <c r="G69" s="470"/>
      <c r="H69" s="471"/>
      <c r="I69" s="471"/>
      <c r="J69" s="492"/>
      <c r="K69" s="228" t="s">
        <v>241</v>
      </c>
      <c r="L69" s="56" t="str">
        <f t="shared" si="2"/>
        <v/>
      </c>
      <c r="M69" s="65"/>
      <c r="N69" s="65"/>
      <c r="O69" s="65"/>
      <c r="P69" s="56"/>
      <c r="Q69" s="184"/>
      <c r="R69" s="184"/>
    </row>
    <row r="70" spans="1:18" s="185" customFormat="1" ht="33" hidden="1" customHeight="1" outlineLevel="3" thickBot="1">
      <c r="A70" s="442" t="s">
        <v>85</v>
      </c>
      <c r="B70" s="474" t="s">
        <v>291</v>
      </c>
      <c r="C70" s="475"/>
      <c r="D70" s="475"/>
      <c r="E70" s="475"/>
      <c r="F70" s="476" t="s">
        <v>276</v>
      </c>
      <c r="G70" s="477" t="s">
        <v>277</v>
      </c>
      <c r="H70" s="493"/>
      <c r="I70" s="435">
        <v>1261725</v>
      </c>
      <c r="J70" s="488">
        <v>2523450</v>
      </c>
      <c r="K70" s="111">
        <f>ROUND(IF(VALUE(Калькулятор!$E$10)&gt;150,J70,I70),2)</f>
        <v>1261725</v>
      </c>
      <c r="L70" s="56" t="str">
        <f t="shared" si="2"/>
        <v/>
      </c>
      <c r="M70" s="65">
        <f>PRODUCT(VALUE(K70),IF(H70="",0,VALUE(H70)))</f>
        <v>0</v>
      </c>
      <c r="N70" s="65"/>
      <c r="O70" s="65"/>
      <c r="P70" s="56"/>
      <c r="Q70" s="229" t="str">
        <f>IF(VALUE(H70)&gt;0,IF(OR(VALUE($T$4)&gt;0,VALUE($T$6)&gt;0)," ","Выберите кабельную линию!")," ")</f>
        <v xml:space="preserve"> </v>
      </c>
      <c r="R70" s="184"/>
    </row>
    <row r="71" spans="1:18" s="185" customFormat="1" ht="49.9" hidden="1" customHeight="1" thickBot="1">
      <c r="A71" s="439"/>
      <c r="B71" s="495"/>
      <c r="C71" s="469"/>
      <c r="D71" s="469"/>
      <c r="E71" s="469"/>
      <c r="F71" s="423"/>
      <c r="G71" s="496"/>
      <c r="H71" s="497"/>
      <c r="I71" s="419"/>
      <c r="J71" s="419"/>
      <c r="K71" s="112"/>
      <c r="L71" s="56" t="s">
        <v>241</v>
      </c>
      <c r="M71" s="65"/>
      <c r="N71" s="65"/>
      <c r="O71" s="65"/>
      <c r="P71" s="56"/>
      <c r="Q71" s="184"/>
      <c r="R71" s="184"/>
    </row>
    <row r="72" spans="1:18" s="185" customFormat="1" ht="26.25" customHeight="1" thickBot="1">
      <c r="A72" s="421" t="s">
        <v>292</v>
      </c>
      <c r="B72" s="498" t="s">
        <v>86</v>
      </c>
      <c r="C72" s="499"/>
      <c r="D72" s="499"/>
      <c r="E72" s="499"/>
      <c r="F72" s="423" t="s">
        <v>241</v>
      </c>
      <c r="G72" s="423" t="s">
        <v>241</v>
      </c>
      <c r="H72" s="462" t="s">
        <v>336</v>
      </c>
      <c r="I72" s="500" t="s">
        <v>241</v>
      </c>
      <c r="J72" s="501"/>
      <c r="K72" s="112" t="s">
        <v>389</v>
      </c>
      <c r="L72" s="67" t="str">
        <f>IF(VALUE(T10)&gt;0,"да","нет")</f>
        <v>нет</v>
      </c>
      <c r="M72" s="65"/>
      <c r="N72" s="65"/>
      <c r="O72" s="65"/>
      <c r="P72" s="56"/>
      <c r="Q72" s="184"/>
      <c r="R72" s="184"/>
    </row>
    <row r="73" spans="1:18" s="185" customFormat="1" ht="33" customHeight="1" outlineLevel="1" collapsed="1" thickBot="1">
      <c r="A73" s="439" t="s">
        <v>293</v>
      </c>
      <c r="B73" s="570" t="s">
        <v>378</v>
      </c>
      <c r="C73" s="571"/>
      <c r="D73" s="571"/>
      <c r="E73" s="571"/>
      <c r="F73" s="571"/>
      <c r="G73" s="571"/>
      <c r="H73" s="502"/>
      <c r="I73" s="440" t="s">
        <v>241</v>
      </c>
      <c r="J73" s="441"/>
      <c r="K73" s="235" t="s">
        <v>241</v>
      </c>
      <c r="L73" s="56" t="str">
        <f t="shared" ref="L73:L104" si="3">CONCATENATE(H73)</f>
        <v/>
      </c>
      <c r="M73" s="65"/>
      <c r="N73" s="65"/>
      <c r="O73" s="65"/>
      <c r="P73" s="56"/>
      <c r="Q73" s="184"/>
      <c r="R73" s="184"/>
    </row>
    <row r="74" spans="1:18" s="185" customFormat="1" ht="33" hidden="1" customHeight="1" outlineLevel="2" thickBot="1">
      <c r="A74" s="442" t="s">
        <v>193</v>
      </c>
      <c r="B74" s="431" t="s">
        <v>87</v>
      </c>
      <c r="C74" s="432"/>
      <c r="D74" s="432"/>
      <c r="E74" s="432"/>
      <c r="F74" s="443" t="s">
        <v>99</v>
      </c>
      <c r="G74" s="443" t="s">
        <v>294</v>
      </c>
      <c r="H74" s="503">
        <f>IF(N74="да",Калькулятор!$E$9,Q74)</f>
        <v>0</v>
      </c>
      <c r="I74" s="435">
        <v>2278.9699999999998</v>
      </c>
      <c r="J74" s="488">
        <v>4557.93</v>
      </c>
      <c r="K74" s="111">
        <f>ROUND(IF(VALUE(Калькулятор!$E$10)&gt;150,J74,I74),2)</f>
        <v>2278.9699999999998</v>
      </c>
      <c r="L74" s="56" t="str">
        <f t="shared" si="3"/>
        <v>0</v>
      </c>
      <c r="M74" s="65">
        <f t="shared" ref="M74:M84" si="4">PRODUCT(VALUE(K74),IF(H74="",0,VALUE(H74)))</f>
        <v>0</v>
      </c>
      <c r="N74" s="366" t="s">
        <v>425</v>
      </c>
      <c r="O74" s="65"/>
      <c r="P74" s="56"/>
      <c r="Q74" s="184"/>
      <c r="R74" s="184"/>
    </row>
    <row r="75" spans="1:18" s="185" customFormat="1" ht="33" hidden="1" customHeight="1" outlineLevel="2" thickBot="1">
      <c r="A75" s="442" t="s">
        <v>194</v>
      </c>
      <c r="B75" s="431" t="s">
        <v>88</v>
      </c>
      <c r="C75" s="432"/>
      <c r="D75" s="432"/>
      <c r="E75" s="432"/>
      <c r="F75" s="443" t="s">
        <v>99</v>
      </c>
      <c r="G75" s="443" t="s">
        <v>295</v>
      </c>
      <c r="H75" s="503">
        <f>IF(N75="да",Калькулятор!$E$9,Q75)</f>
        <v>0</v>
      </c>
      <c r="I75" s="435">
        <v>1445.38</v>
      </c>
      <c r="J75" s="489">
        <v>2890.76</v>
      </c>
      <c r="K75" s="111">
        <f>ROUND(IF(VALUE(Калькулятор!$E$10)&gt;150,J75,I75),2)</f>
        <v>1445.38</v>
      </c>
      <c r="L75" s="56" t="str">
        <f t="shared" si="3"/>
        <v>0</v>
      </c>
      <c r="M75" s="65">
        <f t="shared" si="4"/>
        <v>0</v>
      </c>
      <c r="N75" s="366" t="s">
        <v>425</v>
      </c>
      <c r="O75" s="65"/>
      <c r="P75" s="56"/>
      <c r="Q75" s="184"/>
      <c r="R75" s="184"/>
    </row>
    <row r="76" spans="1:18" s="185" customFormat="1" ht="33" hidden="1" customHeight="1" outlineLevel="2" thickBot="1">
      <c r="A76" s="442" t="s">
        <v>195</v>
      </c>
      <c r="B76" s="431" t="s">
        <v>89</v>
      </c>
      <c r="C76" s="432"/>
      <c r="D76" s="432"/>
      <c r="E76" s="432"/>
      <c r="F76" s="443" t="s">
        <v>99</v>
      </c>
      <c r="G76" s="443" t="s">
        <v>296</v>
      </c>
      <c r="H76" s="503">
        <f>IF(N76="да",Калькулятор!$E$9,Q76)</f>
        <v>0</v>
      </c>
      <c r="I76" s="435">
        <v>950.78</v>
      </c>
      <c r="J76" s="489">
        <v>1901.55</v>
      </c>
      <c r="K76" s="111">
        <f>ROUND(IF(VALUE(Калькулятор!$E$10)&gt;150,J76,I76),2)</f>
        <v>950.78</v>
      </c>
      <c r="L76" s="56" t="str">
        <f t="shared" si="3"/>
        <v>0</v>
      </c>
      <c r="M76" s="65">
        <f t="shared" si="4"/>
        <v>0</v>
      </c>
      <c r="N76" s="366" t="s">
        <v>425</v>
      </c>
      <c r="O76" s="65"/>
      <c r="P76" s="56"/>
      <c r="Q76" s="184"/>
      <c r="R76" s="184"/>
    </row>
    <row r="77" spans="1:18" s="185" customFormat="1" ht="33" hidden="1" customHeight="1" outlineLevel="2" thickBot="1">
      <c r="A77" s="442" t="s">
        <v>196</v>
      </c>
      <c r="B77" s="431" t="s">
        <v>90</v>
      </c>
      <c r="C77" s="432"/>
      <c r="D77" s="432"/>
      <c r="E77" s="432"/>
      <c r="F77" s="443" t="s">
        <v>99</v>
      </c>
      <c r="G77" s="443" t="s">
        <v>297</v>
      </c>
      <c r="H77" s="503">
        <f>IF(N77="да",Калькулятор!$E$9,Q77)</f>
        <v>0</v>
      </c>
      <c r="I77" s="435">
        <v>624</v>
      </c>
      <c r="J77" s="489">
        <v>1248</v>
      </c>
      <c r="K77" s="111">
        <f>ROUND(IF(VALUE(Калькулятор!$E$10)&gt;150,J77,I77),2)</f>
        <v>624</v>
      </c>
      <c r="L77" s="56" t="str">
        <f t="shared" si="3"/>
        <v>0</v>
      </c>
      <c r="M77" s="65">
        <f t="shared" si="4"/>
        <v>0</v>
      </c>
      <c r="N77" s="366" t="s">
        <v>425</v>
      </c>
      <c r="O77" s="65"/>
      <c r="P77" s="56"/>
      <c r="Q77" s="184"/>
      <c r="R77" s="184"/>
    </row>
    <row r="78" spans="1:18" s="185" customFormat="1" ht="33" hidden="1" customHeight="1" outlineLevel="2" thickBot="1">
      <c r="A78" s="442" t="s">
        <v>197</v>
      </c>
      <c r="B78" s="431" t="s">
        <v>91</v>
      </c>
      <c r="C78" s="432"/>
      <c r="D78" s="432"/>
      <c r="E78" s="432"/>
      <c r="F78" s="443" t="s">
        <v>99</v>
      </c>
      <c r="G78" s="443" t="s">
        <v>298</v>
      </c>
      <c r="H78" s="503">
        <f>IF(N78="да",Калькулятор!$E$9,Q78)</f>
        <v>0</v>
      </c>
      <c r="I78" s="435">
        <v>408.27</v>
      </c>
      <c r="J78" s="489">
        <v>816.53</v>
      </c>
      <c r="K78" s="111">
        <f>ROUND(IF(VALUE(Калькулятор!$E$10)&gt;150,J78,I78),2)</f>
        <v>408.27</v>
      </c>
      <c r="L78" s="56" t="str">
        <f t="shared" si="3"/>
        <v>0</v>
      </c>
      <c r="M78" s="65">
        <f t="shared" si="4"/>
        <v>0</v>
      </c>
      <c r="N78" s="366" t="s">
        <v>425</v>
      </c>
      <c r="O78" s="65"/>
      <c r="P78" s="56"/>
      <c r="Q78" s="184"/>
      <c r="R78" s="184"/>
    </row>
    <row r="79" spans="1:18" s="185" customFormat="1" ht="33" hidden="1" customHeight="1" outlineLevel="2" thickBot="1">
      <c r="A79" s="442" t="s">
        <v>198</v>
      </c>
      <c r="B79" s="431" t="s">
        <v>92</v>
      </c>
      <c r="C79" s="432"/>
      <c r="D79" s="432"/>
      <c r="E79" s="432"/>
      <c r="F79" s="443" t="s">
        <v>99</v>
      </c>
      <c r="G79" s="443" t="s">
        <v>299</v>
      </c>
      <c r="H79" s="503">
        <f>IF(N79="да",Калькулятор!$E$9,Q79)</f>
        <v>0</v>
      </c>
      <c r="I79" s="435">
        <v>280.63</v>
      </c>
      <c r="J79" s="489">
        <v>561.26</v>
      </c>
      <c r="K79" s="111">
        <f>ROUND(IF(VALUE(Калькулятор!$E$10)&gt;150,J79,I79),2)</f>
        <v>280.63</v>
      </c>
      <c r="L79" s="56" t="str">
        <f t="shared" si="3"/>
        <v>0</v>
      </c>
      <c r="M79" s="65">
        <f t="shared" si="4"/>
        <v>0</v>
      </c>
      <c r="N79" s="366" t="s">
        <v>425</v>
      </c>
      <c r="O79" s="65"/>
      <c r="P79" s="56"/>
      <c r="Q79" s="184"/>
      <c r="R79" s="184"/>
    </row>
    <row r="80" spans="1:18" s="185" customFormat="1" ht="33" hidden="1" customHeight="1" outlineLevel="2" thickBot="1">
      <c r="A80" s="442" t="s">
        <v>379</v>
      </c>
      <c r="B80" s="431" t="s">
        <v>93</v>
      </c>
      <c r="C80" s="432"/>
      <c r="D80" s="432"/>
      <c r="E80" s="432"/>
      <c r="F80" s="443" t="s">
        <v>101</v>
      </c>
      <c r="G80" s="443" t="s">
        <v>299</v>
      </c>
      <c r="H80" s="503">
        <f>IF(N80="да",Калькулятор!$E$9,Q80)</f>
        <v>0</v>
      </c>
      <c r="I80" s="435">
        <v>572.12</v>
      </c>
      <c r="J80" s="489">
        <v>1144.25</v>
      </c>
      <c r="K80" s="111">
        <f>ROUND(IF(VALUE(Калькулятор!$E$10)&gt;150,J80,I80),2)</f>
        <v>572.12</v>
      </c>
      <c r="L80" s="56" t="str">
        <f t="shared" si="3"/>
        <v>0</v>
      </c>
      <c r="M80" s="65">
        <f t="shared" si="4"/>
        <v>0</v>
      </c>
      <c r="N80" s="366" t="s">
        <v>425</v>
      </c>
      <c r="O80" s="65"/>
      <c r="P80" s="56"/>
      <c r="Q80" s="184"/>
      <c r="R80" s="184"/>
    </row>
    <row r="81" spans="1:21" s="185" customFormat="1" ht="33" hidden="1" customHeight="1" outlineLevel="2" thickBot="1">
      <c r="A81" s="442" t="s">
        <v>380</v>
      </c>
      <c r="B81" s="431" t="s">
        <v>94</v>
      </c>
      <c r="C81" s="432"/>
      <c r="D81" s="432"/>
      <c r="E81" s="432"/>
      <c r="F81" s="443" t="s">
        <v>102</v>
      </c>
      <c r="G81" s="443" t="s">
        <v>302</v>
      </c>
      <c r="H81" s="503">
        <f>IF(N81="да",Калькулятор!$E$9,Q81)</f>
        <v>0</v>
      </c>
      <c r="I81" s="435">
        <v>195.69</v>
      </c>
      <c r="J81" s="489">
        <v>391.38</v>
      </c>
      <c r="K81" s="111">
        <f>ROUND(IF(VALUE(Калькулятор!$E$10)&gt;150,J81,I81),2)</f>
        <v>195.69</v>
      </c>
      <c r="L81" s="56" t="str">
        <f t="shared" si="3"/>
        <v>0</v>
      </c>
      <c r="M81" s="65">
        <f t="shared" si="4"/>
        <v>0</v>
      </c>
      <c r="N81" s="366" t="s">
        <v>425</v>
      </c>
      <c r="O81" s="65"/>
      <c r="P81" s="56"/>
      <c r="Q81" s="184"/>
      <c r="R81" s="184"/>
    </row>
    <row r="82" spans="1:21" s="185" customFormat="1" ht="33" hidden="1" customHeight="1" outlineLevel="2" thickBot="1">
      <c r="A82" s="442" t="s">
        <v>381</v>
      </c>
      <c r="B82" s="431" t="s">
        <v>95</v>
      </c>
      <c r="C82" s="432"/>
      <c r="D82" s="432"/>
      <c r="E82" s="432"/>
      <c r="F82" s="443" t="s">
        <v>104</v>
      </c>
      <c r="G82" s="443" t="s">
        <v>302</v>
      </c>
      <c r="H82" s="503">
        <f>IF(N82="да",Калькулятор!$E$9,Q82)</f>
        <v>0</v>
      </c>
      <c r="I82" s="435">
        <v>398.17</v>
      </c>
      <c r="J82" s="489">
        <v>796.33</v>
      </c>
      <c r="K82" s="111">
        <f>ROUND(IF(VALUE(Калькулятор!$E$10)&gt;150,J82,I82),2)</f>
        <v>398.17</v>
      </c>
      <c r="L82" s="56" t="str">
        <f t="shared" si="3"/>
        <v>0</v>
      </c>
      <c r="M82" s="65">
        <f t="shared" si="4"/>
        <v>0</v>
      </c>
      <c r="N82" s="366" t="s">
        <v>425</v>
      </c>
      <c r="O82" s="65"/>
      <c r="P82" s="56"/>
      <c r="Q82" s="184"/>
      <c r="R82" s="184"/>
    </row>
    <row r="83" spans="1:21" s="185" customFormat="1" ht="33" hidden="1" customHeight="1" outlineLevel="2" thickBot="1">
      <c r="A83" s="442" t="s">
        <v>382</v>
      </c>
      <c r="B83" s="431" t="s">
        <v>96</v>
      </c>
      <c r="C83" s="432"/>
      <c r="D83" s="432"/>
      <c r="E83" s="432"/>
      <c r="F83" s="443" t="s">
        <v>102</v>
      </c>
      <c r="G83" s="443" t="s">
        <v>303</v>
      </c>
      <c r="H83" s="503">
        <f>IF(N83="да",Калькулятор!$E$9,Q83)</f>
        <v>0</v>
      </c>
      <c r="I83" s="435">
        <v>143.44999999999999</v>
      </c>
      <c r="J83" s="489">
        <v>286.89999999999998</v>
      </c>
      <c r="K83" s="111">
        <f>ROUND(IF(VALUE(Калькулятор!$E$10)&gt;150,J83,I83),2)</f>
        <v>143.44999999999999</v>
      </c>
      <c r="L83" s="56" t="str">
        <f t="shared" si="3"/>
        <v>0</v>
      </c>
      <c r="M83" s="65">
        <f t="shared" si="4"/>
        <v>0</v>
      </c>
      <c r="N83" s="366" t="s">
        <v>425</v>
      </c>
      <c r="O83" s="65"/>
      <c r="P83" s="56"/>
      <c r="Q83" s="184"/>
      <c r="R83" s="184"/>
    </row>
    <row r="84" spans="1:21" s="185" customFormat="1" ht="33" hidden="1" customHeight="1" outlineLevel="2" thickBot="1">
      <c r="A84" s="442" t="s">
        <v>383</v>
      </c>
      <c r="B84" s="431" t="s">
        <v>97</v>
      </c>
      <c r="C84" s="432"/>
      <c r="D84" s="432"/>
      <c r="E84" s="432"/>
      <c r="F84" s="443" t="s">
        <v>104</v>
      </c>
      <c r="G84" s="443" t="s">
        <v>303</v>
      </c>
      <c r="H84" s="503">
        <f>IF(N84="да",Калькулятор!$E$9,Q84)</f>
        <v>0</v>
      </c>
      <c r="I84" s="435">
        <v>295.11</v>
      </c>
      <c r="J84" s="491">
        <v>590.22</v>
      </c>
      <c r="K84" s="111">
        <f>ROUND(IF(VALUE(Калькулятор!$E$10)&gt;150,J84,I84),2)</f>
        <v>295.11</v>
      </c>
      <c r="L84" s="56" t="str">
        <f t="shared" si="3"/>
        <v>0</v>
      </c>
      <c r="M84" s="65">
        <f t="shared" si="4"/>
        <v>0</v>
      </c>
      <c r="N84" s="366" t="s">
        <v>425</v>
      </c>
      <c r="O84" s="65"/>
      <c r="P84" s="56"/>
      <c r="Q84" s="184"/>
      <c r="R84" s="184"/>
    </row>
    <row r="85" spans="1:21" s="185" customFormat="1" ht="33" customHeight="1" outlineLevel="1" thickBot="1">
      <c r="A85" s="439" t="s">
        <v>300</v>
      </c>
      <c r="B85" s="570" t="s">
        <v>373</v>
      </c>
      <c r="C85" s="571"/>
      <c r="D85" s="571"/>
      <c r="E85" s="571"/>
      <c r="F85" s="571"/>
      <c r="G85" s="571"/>
      <c r="H85" s="502"/>
      <c r="I85" s="502"/>
      <c r="J85" s="504"/>
      <c r="K85" s="235" t="s">
        <v>241</v>
      </c>
      <c r="L85" s="56" t="str">
        <f t="shared" si="3"/>
        <v/>
      </c>
      <c r="M85" s="65"/>
      <c r="N85" s="366"/>
      <c r="O85" s="65"/>
      <c r="P85" s="56"/>
      <c r="Q85" s="184"/>
      <c r="R85" s="184"/>
    </row>
    <row r="86" spans="1:21" s="185" customFormat="1" ht="33" customHeight="1" outlineLevel="2" thickBot="1">
      <c r="A86" s="442" t="s">
        <v>199</v>
      </c>
      <c r="B86" s="431" t="s">
        <v>98</v>
      </c>
      <c r="C86" s="432"/>
      <c r="D86" s="432"/>
      <c r="E86" s="432"/>
      <c r="F86" s="443" t="s">
        <v>99</v>
      </c>
      <c r="G86" s="443" t="s">
        <v>294</v>
      </c>
      <c r="H86" s="503">
        <f>IF(N86="да",Калькулятор!$E$9,Q86)</f>
        <v>0</v>
      </c>
      <c r="I86" s="435">
        <v>1333.1</v>
      </c>
      <c r="J86" s="488">
        <v>2666.2</v>
      </c>
      <c r="K86" s="111">
        <f>ROUND(IF(VALUE(Калькулятор!$E$10)&gt;150,J86,I86),2)</f>
        <v>1333.1</v>
      </c>
      <c r="L86" s="56" t="str">
        <f t="shared" si="3"/>
        <v>0</v>
      </c>
      <c r="M86" s="65">
        <f t="shared" ref="M86:M96" si="5">PRODUCT(VALUE(K86),IF(H86="",0,VALUE(H86)))</f>
        <v>0</v>
      </c>
      <c r="N86" s="367" t="s">
        <v>425</v>
      </c>
      <c r="O86" s="65"/>
      <c r="P86" s="56"/>
      <c r="Q86" s="184"/>
      <c r="R86" s="184"/>
    </row>
    <row r="87" spans="1:21" s="185" customFormat="1" ht="33" customHeight="1" outlineLevel="2" thickBot="1">
      <c r="A87" s="442" t="s">
        <v>200</v>
      </c>
      <c r="B87" s="431" t="s">
        <v>443</v>
      </c>
      <c r="C87" s="432"/>
      <c r="D87" s="432"/>
      <c r="E87" s="432"/>
      <c r="F87" s="443" t="s">
        <v>99</v>
      </c>
      <c r="G87" s="443" t="s">
        <v>444</v>
      </c>
      <c r="H87" s="503">
        <f>IF(N87="да",Калькулятор!$E$9,O87)</f>
        <v>0</v>
      </c>
      <c r="I87" s="435">
        <v>1439.09</v>
      </c>
      <c r="J87" s="489">
        <v>2878.19</v>
      </c>
      <c r="K87" s="111">
        <f>ROUND(IF(VALUE(Калькулятор!$E$10)&gt;150,J87,I87),2)</f>
        <v>1439.09</v>
      </c>
      <c r="L87" s="56" t="str">
        <f t="shared" si="3"/>
        <v>0</v>
      </c>
      <c r="M87" s="65">
        <f t="shared" si="5"/>
        <v>0</v>
      </c>
      <c r="N87" s="366" t="s">
        <v>425</v>
      </c>
      <c r="O87" s="65"/>
      <c r="P87" s="56"/>
      <c r="Q87" s="184"/>
      <c r="R87" s="184"/>
    </row>
    <row r="88" spans="1:21" s="185" customFormat="1" ht="33" customHeight="1" outlineLevel="2" thickBot="1">
      <c r="A88" s="442" t="s">
        <v>201</v>
      </c>
      <c r="B88" s="431" t="s">
        <v>445</v>
      </c>
      <c r="C88" s="432"/>
      <c r="D88" s="432"/>
      <c r="E88" s="432"/>
      <c r="F88" s="443" t="s">
        <v>99</v>
      </c>
      <c r="G88" s="443" t="s">
        <v>446</v>
      </c>
      <c r="H88" s="503">
        <f>IF(N88="да",Калькулятор!$E$9,O88)</f>
        <v>0</v>
      </c>
      <c r="I88" s="435">
        <v>907.95</v>
      </c>
      <c r="J88" s="489">
        <v>1815.9</v>
      </c>
      <c r="K88" s="111">
        <f>ROUND(IF(VALUE(Калькулятор!$E$10)&gt;150,J88,I88),2)</f>
        <v>907.95</v>
      </c>
      <c r="L88" s="56" t="str">
        <f t="shared" si="3"/>
        <v>0</v>
      </c>
      <c r="M88" s="65">
        <f t="shared" si="5"/>
        <v>0</v>
      </c>
      <c r="N88" s="366" t="s">
        <v>425</v>
      </c>
      <c r="O88" s="65"/>
      <c r="P88" s="56"/>
      <c r="Q88" s="56"/>
      <c r="R88" s="56"/>
      <c r="S88" s="56"/>
      <c r="T88" s="184"/>
      <c r="U88" s="184"/>
    </row>
    <row r="89" spans="1:21" s="185" customFormat="1" ht="33" customHeight="1" outlineLevel="2" thickBot="1">
      <c r="A89" s="442" t="s">
        <v>202</v>
      </c>
      <c r="B89" s="431" t="s">
        <v>447</v>
      </c>
      <c r="C89" s="432"/>
      <c r="D89" s="432"/>
      <c r="E89" s="432"/>
      <c r="F89" s="443" t="s">
        <v>99</v>
      </c>
      <c r="G89" s="443" t="s">
        <v>448</v>
      </c>
      <c r="H89" s="503">
        <f>IF(N89="да",Калькулятор!$E$9,O89)</f>
        <v>0</v>
      </c>
      <c r="I89" s="435">
        <v>592.05999999999995</v>
      </c>
      <c r="J89" s="489">
        <v>1184.1300000000001</v>
      </c>
      <c r="K89" s="111">
        <f>ROUND(IF(VALUE(Калькулятор!$E$10)&gt;150,J89,I89),2)</f>
        <v>592.05999999999995</v>
      </c>
      <c r="L89" s="56" t="str">
        <f t="shared" si="3"/>
        <v>0</v>
      </c>
      <c r="M89" s="65">
        <f t="shared" si="5"/>
        <v>0</v>
      </c>
      <c r="N89" s="366" t="s">
        <v>425</v>
      </c>
      <c r="O89" s="365"/>
      <c r="P89" s="56"/>
      <c r="Q89" s="56"/>
      <c r="R89" s="56"/>
      <c r="S89" s="56"/>
      <c r="T89" s="184"/>
      <c r="U89" s="184" t="s">
        <v>50</v>
      </c>
    </row>
    <row r="90" spans="1:21" s="185" customFormat="1" ht="33" customHeight="1" outlineLevel="2" thickBot="1">
      <c r="A90" s="442" t="s">
        <v>203</v>
      </c>
      <c r="B90" s="431" t="s">
        <v>449</v>
      </c>
      <c r="C90" s="432"/>
      <c r="D90" s="432"/>
      <c r="E90" s="432"/>
      <c r="F90" s="443" t="s">
        <v>99</v>
      </c>
      <c r="G90" s="443" t="s">
        <v>450</v>
      </c>
      <c r="H90" s="503">
        <f>IF(N90="да",Калькулятор!$E$9,O90)</f>
        <v>0</v>
      </c>
      <c r="I90" s="435">
        <v>380.34</v>
      </c>
      <c r="J90" s="489">
        <v>760.69</v>
      </c>
      <c r="K90" s="111">
        <f>ROUND(IF(VALUE(Калькулятор!$E$10)&gt;150,J90,I90),2)</f>
        <v>380.34</v>
      </c>
      <c r="L90" s="56" t="str">
        <f t="shared" si="3"/>
        <v>0</v>
      </c>
      <c r="M90" s="65">
        <f t="shared" si="5"/>
        <v>0</v>
      </c>
      <c r="N90" s="366" t="s">
        <v>425</v>
      </c>
      <c r="O90" s="65"/>
      <c r="P90" s="56"/>
      <c r="Q90" s="184"/>
      <c r="R90" s="184"/>
    </row>
    <row r="91" spans="1:21" s="185" customFormat="1" ht="33" customHeight="1" outlineLevel="2" thickBot="1">
      <c r="A91" s="442" t="s">
        <v>204</v>
      </c>
      <c r="B91" s="431" t="s">
        <v>451</v>
      </c>
      <c r="C91" s="432"/>
      <c r="D91" s="432"/>
      <c r="E91" s="432"/>
      <c r="F91" s="443" t="s">
        <v>99</v>
      </c>
      <c r="G91" s="443" t="s">
        <v>452</v>
      </c>
      <c r="H91" s="503">
        <f>IF(N91="да",Калькулятор!$E$9,O91)</f>
        <v>0</v>
      </c>
      <c r="I91" s="435">
        <v>294.54000000000002</v>
      </c>
      <c r="J91" s="489">
        <v>589.09</v>
      </c>
      <c r="K91" s="111">
        <f>ROUND(IF(VALUE(Калькулятор!$E$10)&gt;150,J91,I91),2)</f>
        <v>294.54000000000002</v>
      </c>
      <c r="L91" s="56" t="str">
        <f t="shared" si="3"/>
        <v>0</v>
      </c>
      <c r="M91" s="65">
        <f t="shared" si="5"/>
        <v>0</v>
      </c>
      <c r="N91" s="366" t="s">
        <v>425</v>
      </c>
      <c r="O91" s="65"/>
      <c r="P91" s="56"/>
      <c r="Q91" s="184"/>
      <c r="R91" s="184"/>
    </row>
    <row r="92" spans="1:21" s="185" customFormat="1" ht="33" customHeight="1" outlineLevel="2" thickBot="1">
      <c r="A92" s="442" t="s">
        <v>374</v>
      </c>
      <c r="B92" s="431" t="s">
        <v>100</v>
      </c>
      <c r="C92" s="432"/>
      <c r="D92" s="432"/>
      <c r="E92" s="432"/>
      <c r="F92" s="443" t="s">
        <v>101</v>
      </c>
      <c r="G92" s="443" t="s">
        <v>299</v>
      </c>
      <c r="H92" s="503">
        <f>IF(N92="да",Калькулятор!$E$9,O92)</f>
        <v>0</v>
      </c>
      <c r="I92" s="435">
        <v>582.79999999999995</v>
      </c>
      <c r="J92" s="489">
        <v>1165.5999999999999</v>
      </c>
      <c r="K92" s="111">
        <f>ROUND(IF(VALUE(Калькулятор!$E$10)&gt;150,J92,I92),2)</f>
        <v>582.79999999999995</v>
      </c>
      <c r="L92" s="56" t="str">
        <f t="shared" si="3"/>
        <v>0</v>
      </c>
      <c r="M92" s="65">
        <f t="shared" si="5"/>
        <v>0</v>
      </c>
      <c r="N92" s="366" t="s">
        <v>425</v>
      </c>
      <c r="O92" s="65"/>
      <c r="P92" s="56"/>
      <c r="Q92" s="184"/>
      <c r="R92" s="184"/>
    </row>
    <row r="93" spans="1:21" s="185" customFormat="1" ht="33" customHeight="1" outlineLevel="2" thickBot="1">
      <c r="A93" s="442" t="s">
        <v>375</v>
      </c>
      <c r="B93" s="431" t="s">
        <v>455</v>
      </c>
      <c r="C93" s="432"/>
      <c r="D93" s="432"/>
      <c r="E93" s="432"/>
      <c r="F93" s="443" t="s">
        <v>104</v>
      </c>
      <c r="G93" s="443" t="s">
        <v>297</v>
      </c>
      <c r="H93" s="503">
        <f>IF(N93="да",Калькулятор!$E$9,O93)</f>
        <v>0</v>
      </c>
      <c r="I93" s="435">
        <v>1184.1300000000001</v>
      </c>
      <c r="J93" s="489">
        <v>2368.2600000000002</v>
      </c>
      <c r="K93" s="111">
        <f>ROUND(IF(VALUE(Калькулятор!$E$10)&gt;150,J93,I93),2)</f>
        <v>1184.1300000000001</v>
      </c>
      <c r="L93" s="56" t="str">
        <f t="shared" si="3"/>
        <v>0</v>
      </c>
      <c r="M93" s="65">
        <f t="shared" si="5"/>
        <v>0</v>
      </c>
      <c r="N93" s="366" t="s">
        <v>425</v>
      </c>
      <c r="O93" s="65"/>
      <c r="P93" s="56"/>
      <c r="Q93" s="184"/>
      <c r="R93" s="184"/>
    </row>
    <row r="94" spans="1:21" s="185" customFormat="1" ht="33" hidden="1" customHeight="1" outlineLevel="2" thickBot="1">
      <c r="A94" s="442" t="s">
        <v>376</v>
      </c>
      <c r="B94" s="431" t="s">
        <v>103</v>
      </c>
      <c r="C94" s="432"/>
      <c r="D94" s="432"/>
      <c r="E94" s="432"/>
      <c r="F94" s="443" t="s">
        <v>104</v>
      </c>
      <c r="G94" s="443" t="s">
        <v>302</v>
      </c>
      <c r="H94" s="503">
        <f>IF(N94="да",Калькулятор!$E$9,O94)</f>
        <v>0</v>
      </c>
      <c r="I94" s="435">
        <v>269.14</v>
      </c>
      <c r="J94" s="489">
        <v>538.28</v>
      </c>
      <c r="K94" s="111">
        <f>ROUND(IF(VALUE(Калькулятор!$E$10)&gt;150,J94,I94),2)</f>
        <v>269.14</v>
      </c>
      <c r="L94" s="56" t="str">
        <f t="shared" si="3"/>
        <v>0</v>
      </c>
      <c r="M94" s="65">
        <f t="shared" si="5"/>
        <v>0</v>
      </c>
      <c r="N94" s="366" t="s">
        <v>425</v>
      </c>
      <c r="O94" s="65"/>
      <c r="P94" s="56"/>
      <c r="Q94" s="184"/>
      <c r="R94" s="184"/>
    </row>
    <row r="95" spans="1:21" s="185" customFormat="1" ht="33" customHeight="1" outlineLevel="2" thickBot="1">
      <c r="A95" s="442" t="s">
        <v>376</v>
      </c>
      <c r="B95" s="431" t="s">
        <v>453</v>
      </c>
      <c r="C95" s="432"/>
      <c r="D95" s="432"/>
      <c r="E95" s="432"/>
      <c r="F95" s="443" t="s">
        <v>99</v>
      </c>
      <c r="G95" s="443" t="s">
        <v>454</v>
      </c>
      <c r="H95" s="503">
        <f>IF(N95="да",Калькулятор!$E$9,O95)</f>
        <v>0</v>
      </c>
      <c r="I95" s="435">
        <v>161.43</v>
      </c>
      <c r="J95" s="489">
        <v>322.86</v>
      </c>
      <c r="K95" s="111">
        <f>ROUND(IF(VALUE(Калькулятор!$E$10)&gt;150,J95,I95),2)</f>
        <v>161.43</v>
      </c>
      <c r="L95" s="56" t="str">
        <f t="shared" si="3"/>
        <v>0</v>
      </c>
      <c r="M95" s="65">
        <f t="shared" si="5"/>
        <v>0</v>
      </c>
      <c r="N95" s="366" t="s">
        <v>425</v>
      </c>
      <c r="O95" s="65"/>
      <c r="P95" s="56"/>
      <c r="Q95" s="184"/>
      <c r="R95" s="184"/>
    </row>
    <row r="96" spans="1:21" s="185" customFormat="1" ht="33" customHeight="1" outlineLevel="2" thickBot="1">
      <c r="A96" s="442" t="s">
        <v>377</v>
      </c>
      <c r="B96" s="431" t="s">
        <v>456</v>
      </c>
      <c r="C96" s="432"/>
      <c r="D96" s="432"/>
      <c r="E96" s="432"/>
      <c r="F96" s="443" t="s">
        <v>99</v>
      </c>
      <c r="G96" s="443" t="s">
        <v>457</v>
      </c>
      <c r="H96" s="503">
        <f>IF(N96="да",Калькулятор!$E$9,O96)</f>
        <v>0</v>
      </c>
      <c r="I96" s="435">
        <v>145.88999999999999</v>
      </c>
      <c r="J96" s="491">
        <v>291.77999999999997</v>
      </c>
      <c r="K96" s="111">
        <f>ROUND(IF(VALUE(Калькулятор!$E$10)&gt;150,J96,I96),2)</f>
        <v>145.88999999999999</v>
      </c>
      <c r="L96" s="56" t="str">
        <f t="shared" si="3"/>
        <v>0</v>
      </c>
      <c r="M96" s="65">
        <f t="shared" si="5"/>
        <v>0</v>
      </c>
      <c r="N96" s="366" t="s">
        <v>425</v>
      </c>
      <c r="O96" s="65"/>
      <c r="P96" s="56"/>
      <c r="Q96" s="184"/>
      <c r="R96" s="184"/>
    </row>
    <row r="97" spans="1:18" s="185" customFormat="1" ht="33" customHeight="1" outlineLevel="1" collapsed="1" thickBot="1">
      <c r="A97" s="439" t="s">
        <v>301</v>
      </c>
      <c r="B97" s="554" t="s">
        <v>308</v>
      </c>
      <c r="C97" s="555"/>
      <c r="D97" s="555"/>
      <c r="E97" s="555"/>
      <c r="F97" s="555"/>
      <c r="G97" s="555"/>
      <c r="H97" s="440"/>
      <c r="I97" s="502"/>
      <c r="J97" s="441"/>
      <c r="K97" s="112" t="s">
        <v>241</v>
      </c>
      <c r="L97" s="56" t="str">
        <f t="shared" si="3"/>
        <v/>
      </c>
      <c r="M97" s="65"/>
      <c r="N97" s="366"/>
      <c r="O97" s="65"/>
      <c r="P97" s="56"/>
      <c r="Q97" s="184"/>
      <c r="R97" s="184"/>
    </row>
    <row r="98" spans="1:18" s="185" customFormat="1" ht="33" hidden="1" customHeight="1" outlineLevel="2" thickBot="1">
      <c r="A98" s="442" t="s">
        <v>205</v>
      </c>
      <c r="B98" s="474" t="s">
        <v>105</v>
      </c>
      <c r="C98" s="480"/>
      <c r="D98" s="480"/>
      <c r="E98" s="480"/>
      <c r="F98" s="443" t="s">
        <v>106</v>
      </c>
      <c r="G98" s="443" t="s">
        <v>302</v>
      </c>
      <c r="H98" s="503">
        <f>IF(N98="да",Калькулятор!$E$9,O98)</f>
        <v>0</v>
      </c>
      <c r="I98" s="435">
        <v>1073.02</v>
      </c>
      <c r="J98" s="488">
        <v>2146.0300000000002</v>
      </c>
      <c r="K98" s="111">
        <f>ROUND(IF(VALUE(Калькулятор!$E$10)&gt;150,J98,I98),2)</f>
        <v>1073.02</v>
      </c>
      <c r="L98" s="56" t="str">
        <f t="shared" si="3"/>
        <v>0</v>
      </c>
      <c r="M98" s="65">
        <f>PRODUCT(VALUE(K98),IF(H98="",0,VALUE(H98)))</f>
        <v>0</v>
      </c>
      <c r="N98" s="366" t="s">
        <v>425</v>
      </c>
      <c r="O98" s="65"/>
      <c r="P98" s="56"/>
      <c r="Q98" s="184"/>
      <c r="R98" s="184"/>
    </row>
    <row r="99" spans="1:18" s="185" customFormat="1" ht="33" hidden="1" customHeight="1" outlineLevel="2" thickBot="1">
      <c r="A99" s="442" t="s">
        <v>206</v>
      </c>
      <c r="B99" s="474" t="s">
        <v>107</v>
      </c>
      <c r="C99" s="480"/>
      <c r="D99" s="480"/>
      <c r="E99" s="480"/>
      <c r="F99" s="443" t="s">
        <v>106</v>
      </c>
      <c r="G99" s="443" t="s">
        <v>303</v>
      </c>
      <c r="H99" s="503">
        <f>IF(N99="да",Калькулятор!$E$9,O99)</f>
        <v>0</v>
      </c>
      <c r="I99" s="435">
        <v>696.13</v>
      </c>
      <c r="J99" s="489">
        <v>1392.27</v>
      </c>
      <c r="K99" s="111">
        <f>ROUND(IF(VALUE(Калькулятор!$E$10)&gt;150,J99,I99),2)</f>
        <v>696.13</v>
      </c>
      <c r="L99" s="56" t="str">
        <f t="shared" si="3"/>
        <v>0</v>
      </c>
      <c r="M99" s="65">
        <f>PRODUCT(VALUE(K99),IF(H99="",0,VALUE(H99)))</f>
        <v>0</v>
      </c>
      <c r="N99" s="366" t="s">
        <v>425</v>
      </c>
      <c r="O99" s="65"/>
      <c r="P99" s="56"/>
      <c r="Q99" s="184"/>
      <c r="R99" s="184"/>
    </row>
    <row r="100" spans="1:18" s="185" customFormat="1" ht="33" hidden="1" customHeight="1" outlineLevel="2" thickBot="1">
      <c r="A100" s="442" t="s">
        <v>207</v>
      </c>
      <c r="B100" s="474" t="s">
        <v>108</v>
      </c>
      <c r="C100" s="480"/>
      <c r="D100" s="480"/>
      <c r="E100" s="480"/>
      <c r="F100" s="443" t="s">
        <v>106</v>
      </c>
      <c r="G100" s="443" t="s">
        <v>309</v>
      </c>
      <c r="H100" s="503">
        <f>IF(N100="да",Калькулятор!$E$9,O100)</f>
        <v>0</v>
      </c>
      <c r="I100" s="435">
        <v>451.7</v>
      </c>
      <c r="J100" s="489">
        <v>903.41</v>
      </c>
      <c r="K100" s="111">
        <f>ROUND(IF(VALUE(Калькулятор!$E$10)&gt;150,J100,I100),2)</f>
        <v>451.7</v>
      </c>
      <c r="L100" s="56" t="str">
        <f t="shared" si="3"/>
        <v>0</v>
      </c>
      <c r="M100" s="65">
        <f>PRODUCT(VALUE(K100),IF(H100="",0,VALUE(H100)))</f>
        <v>0</v>
      </c>
      <c r="N100" s="366" t="s">
        <v>425</v>
      </c>
      <c r="O100" s="65"/>
      <c r="P100" s="56"/>
      <c r="Q100" s="184"/>
      <c r="R100" s="184"/>
    </row>
    <row r="101" spans="1:18" s="185" customFormat="1" ht="33" hidden="1" customHeight="1" outlineLevel="2" thickBot="1">
      <c r="A101" s="442" t="s">
        <v>208</v>
      </c>
      <c r="B101" s="474" t="s">
        <v>109</v>
      </c>
      <c r="C101" s="480"/>
      <c r="D101" s="480"/>
      <c r="E101" s="480"/>
      <c r="F101" s="443" t="s">
        <v>106</v>
      </c>
      <c r="G101" s="443" t="s">
        <v>310</v>
      </c>
      <c r="H101" s="503">
        <f>IF(N101="да",Калькулятор!$E$9,O101)</f>
        <v>0</v>
      </c>
      <c r="I101" s="435">
        <v>376.64</v>
      </c>
      <c r="J101" s="489">
        <v>753.28</v>
      </c>
      <c r="K101" s="111">
        <f>ROUND(IF(VALUE(Калькулятор!$E$10)&gt;150,J101,I101),2)</f>
        <v>376.64</v>
      </c>
      <c r="L101" s="56" t="str">
        <f t="shared" si="3"/>
        <v>0</v>
      </c>
      <c r="M101" s="65">
        <f>PRODUCT(VALUE(K101),IF(H101="",0,VALUE(H101)))</f>
        <v>0</v>
      </c>
      <c r="N101" s="366" t="s">
        <v>425</v>
      </c>
      <c r="O101" s="65"/>
      <c r="P101" s="56"/>
      <c r="Q101" s="184"/>
      <c r="R101" s="184"/>
    </row>
    <row r="102" spans="1:18" s="185" customFormat="1" ht="33" hidden="1" customHeight="1" outlineLevel="2" thickBot="1">
      <c r="A102" s="442" t="s">
        <v>209</v>
      </c>
      <c r="B102" s="474" t="s">
        <v>110</v>
      </c>
      <c r="C102" s="480"/>
      <c r="D102" s="480"/>
      <c r="E102" s="480"/>
      <c r="F102" s="443" t="s">
        <v>106</v>
      </c>
      <c r="G102" s="443" t="s">
        <v>311</v>
      </c>
      <c r="H102" s="503">
        <f>IF(N102="да",Калькулятор!$E$9,O102)</f>
        <v>0</v>
      </c>
      <c r="I102" s="435">
        <v>322.45</v>
      </c>
      <c r="J102" s="491">
        <v>644.9</v>
      </c>
      <c r="K102" s="111">
        <f>ROUND(IF(VALUE(Калькулятор!$E$10)&gt;150,J102,I102),2)</f>
        <v>322.45</v>
      </c>
      <c r="L102" s="56" t="str">
        <f t="shared" si="3"/>
        <v>0</v>
      </c>
      <c r="M102" s="65">
        <f>PRODUCT(VALUE(K102),IF(H102="",0,VALUE(H102)))</f>
        <v>0</v>
      </c>
      <c r="N102" s="366" t="s">
        <v>425</v>
      </c>
      <c r="O102" s="65"/>
      <c r="P102" s="56"/>
      <c r="Q102" s="184"/>
      <c r="R102" s="184"/>
    </row>
    <row r="103" spans="1:18" s="185" customFormat="1" ht="33" customHeight="1" outlineLevel="1" collapsed="1" thickBot="1">
      <c r="A103" s="439" t="s">
        <v>304</v>
      </c>
      <c r="B103" s="554" t="s">
        <v>313</v>
      </c>
      <c r="C103" s="555"/>
      <c r="D103" s="555"/>
      <c r="E103" s="555"/>
      <c r="F103" s="555"/>
      <c r="G103" s="555"/>
      <c r="H103" s="440"/>
      <c r="I103" s="440"/>
      <c r="J103" s="441"/>
      <c r="K103" s="112" t="s">
        <v>241</v>
      </c>
      <c r="L103" s="56" t="str">
        <f t="shared" si="3"/>
        <v/>
      </c>
      <c r="M103" s="65"/>
      <c r="N103" s="366"/>
      <c r="O103" s="65"/>
      <c r="P103" s="56"/>
      <c r="Q103" s="184"/>
      <c r="R103" s="184"/>
    </row>
    <row r="104" spans="1:18" s="185" customFormat="1" ht="33" hidden="1" customHeight="1" outlineLevel="2" thickBot="1">
      <c r="A104" s="442" t="s">
        <v>210</v>
      </c>
      <c r="B104" s="474" t="s">
        <v>111</v>
      </c>
      <c r="C104" s="480"/>
      <c r="D104" s="480"/>
      <c r="E104" s="480"/>
      <c r="F104" s="443" t="s">
        <v>112</v>
      </c>
      <c r="G104" s="443" t="s">
        <v>302</v>
      </c>
      <c r="H104" s="503">
        <f>IF(N104="да",Калькулятор!$E$9,O104)</f>
        <v>0</v>
      </c>
      <c r="I104" s="435">
        <v>2393.29</v>
      </c>
      <c r="J104" s="488">
        <v>4786.57</v>
      </c>
      <c r="K104" s="111">
        <f>ROUND(IF(VALUE(Калькулятор!$E$10)&gt;150,J104,I104),2)</f>
        <v>2393.29</v>
      </c>
      <c r="L104" s="56" t="str">
        <f t="shared" si="3"/>
        <v>0</v>
      </c>
      <c r="M104" s="65">
        <f>PRODUCT(VALUE(K104),IF(H104="",0,VALUE(H104)))</f>
        <v>0</v>
      </c>
      <c r="N104" s="366" t="s">
        <v>425</v>
      </c>
      <c r="O104" s="65"/>
      <c r="P104" s="56"/>
      <c r="Q104" s="184"/>
      <c r="R104" s="184"/>
    </row>
    <row r="105" spans="1:18" s="185" customFormat="1" ht="33" hidden="1" customHeight="1" outlineLevel="2" thickBot="1">
      <c r="A105" s="442" t="s">
        <v>211</v>
      </c>
      <c r="B105" s="474" t="s">
        <v>113</v>
      </c>
      <c r="C105" s="480"/>
      <c r="D105" s="480"/>
      <c r="E105" s="480"/>
      <c r="F105" s="443" t="s">
        <v>114</v>
      </c>
      <c r="G105" s="443" t="s">
        <v>303</v>
      </c>
      <c r="H105" s="503">
        <f>IF(N105="да",Калькулятор!$E$9,O105)</f>
        <v>0</v>
      </c>
      <c r="I105" s="435">
        <v>1561.67</v>
      </c>
      <c r="J105" s="489">
        <v>3123.35</v>
      </c>
      <c r="K105" s="111">
        <f>ROUND(IF(VALUE(Калькулятор!$E$10)&gt;150,J105,I105),2)</f>
        <v>1561.67</v>
      </c>
      <c r="L105" s="56" t="str">
        <f t="shared" ref="L105:L133" si="6">CONCATENATE(H105)</f>
        <v>0</v>
      </c>
      <c r="M105" s="65">
        <f>PRODUCT(VALUE(K105),IF(H105="",0,VALUE(H105)))</f>
        <v>0</v>
      </c>
      <c r="N105" s="366" t="s">
        <v>425</v>
      </c>
      <c r="O105" s="65"/>
      <c r="P105" s="56"/>
      <c r="Q105" s="184"/>
      <c r="R105" s="184"/>
    </row>
    <row r="106" spans="1:18" s="185" customFormat="1" ht="33" hidden="1" customHeight="1" outlineLevel="2" thickBot="1">
      <c r="A106" s="442" t="s">
        <v>212</v>
      </c>
      <c r="B106" s="474" t="s">
        <v>115</v>
      </c>
      <c r="C106" s="480"/>
      <c r="D106" s="480"/>
      <c r="E106" s="480"/>
      <c r="F106" s="443" t="s">
        <v>116</v>
      </c>
      <c r="G106" s="443" t="s">
        <v>309</v>
      </c>
      <c r="H106" s="503">
        <f>IF(N106="да",Калькулятор!$E$9,O106)</f>
        <v>0</v>
      </c>
      <c r="I106" s="435">
        <v>1086.3800000000001</v>
      </c>
      <c r="J106" s="489">
        <v>2172.7600000000002</v>
      </c>
      <c r="K106" s="111">
        <f>ROUND(IF(VALUE(Калькулятор!$E$10)&gt;150,J106,I106),2)</f>
        <v>1086.3800000000001</v>
      </c>
      <c r="L106" s="56" t="str">
        <f t="shared" si="6"/>
        <v>0</v>
      </c>
      <c r="M106" s="65">
        <f>PRODUCT(VALUE(K106),IF(H106="",0,VALUE(H106)))</f>
        <v>0</v>
      </c>
      <c r="N106" s="366" t="s">
        <v>425</v>
      </c>
      <c r="O106" s="65"/>
      <c r="P106" s="56"/>
      <c r="Q106" s="184"/>
      <c r="R106" s="184"/>
    </row>
    <row r="107" spans="1:18" s="185" customFormat="1" ht="33" hidden="1" customHeight="1" outlineLevel="2" thickBot="1">
      <c r="A107" s="442" t="s">
        <v>213</v>
      </c>
      <c r="B107" s="474" t="s">
        <v>117</v>
      </c>
      <c r="C107" s="480"/>
      <c r="D107" s="480"/>
      <c r="E107" s="480"/>
      <c r="F107" s="443" t="s">
        <v>118</v>
      </c>
      <c r="G107" s="443" t="s">
        <v>310</v>
      </c>
      <c r="H107" s="503">
        <f>IF(N107="да",Калькулятор!$E$9,O107)</f>
        <v>0</v>
      </c>
      <c r="I107" s="435">
        <v>892.66</v>
      </c>
      <c r="J107" s="489">
        <v>1785.32</v>
      </c>
      <c r="K107" s="111">
        <f>ROUND(IF(VALUE(Калькулятор!$E$10)&gt;150,J107,I107),2)</f>
        <v>892.66</v>
      </c>
      <c r="L107" s="56" t="str">
        <f t="shared" si="6"/>
        <v>0</v>
      </c>
      <c r="M107" s="65">
        <f>PRODUCT(VALUE(K107),IF(H107="",0,VALUE(H107)))</f>
        <v>0</v>
      </c>
      <c r="N107" s="366" t="s">
        <v>425</v>
      </c>
      <c r="O107" s="65"/>
      <c r="P107" s="56"/>
      <c r="Q107" s="184"/>
      <c r="R107" s="184"/>
    </row>
    <row r="108" spans="1:18" s="185" customFormat="1" ht="33" hidden="1" customHeight="1" outlineLevel="2" thickBot="1">
      <c r="A108" s="442" t="s">
        <v>214</v>
      </c>
      <c r="B108" s="474" t="s">
        <v>119</v>
      </c>
      <c r="C108" s="480"/>
      <c r="D108" s="480"/>
      <c r="E108" s="480"/>
      <c r="F108" s="443" t="s">
        <v>112</v>
      </c>
      <c r="G108" s="443" t="s">
        <v>311</v>
      </c>
      <c r="H108" s="503">
        <f>IF(N108="да",Калькулятор!$E$9,O108)</f>
        <v>0</v>
      </c>
      <c r="I108" s="435">
        <v>721.93</v>
      </c>
      <c r="J108" s="491">
        <v>1443.86</v>
      </c>
      <c r="K108" s="111">
        <f>ROUND(IF(VALUE(Калькулятор!$E$10)&gt;150,J108,I108),2)</f>
        <v>721.93</v>
      </c>
      <c r="L108" s="56" t="str">
        <f t="shared" si="6"/>
        <v>0</v>
      </c>
      <c r="M108" s="65">
        <f>PRODUCT(VALUE(K108),IF(H108="",0,VALUE(H108)))</f>
        <v>0</v>
      </c>
      <c r="N108" s="366" t="s">
        <v>425</v>
      </c>
      <c r="O108" s="65"/>
      <c r="P108" s="56"/>
      <c r="Q108" s="184"/>
      <c r="R108" s="184"/>
    </row>
    <row r="109" spans="1:18" s="185" customFormat="1" ht="33" customHeight="1" outlineLevel="1" collapsed="1" thickBot="1">
      <c r="A109" s="439" t="s">
        <v>305</v>
      </c>
      <c r="B109" s="552" t="s">
        <v>315</v>
      </c>
      <c r="C109" s="553"/>
      <c r="D109" s="553"/>
      <c r="E109" s="553"/>
      <c r="F109" s="553"/>
      <c r="G109" s="553"/>
      <c r="H109" s="440"/>
      <c r="I109" s="440"/>
      <c r="J109" s="441"/>
      <c r="K109" s="112" t="s">
        <v>241</v>
      </c>
      <c r="L109" s="56" t="str">
        <f t="shared" si="6"/>
        <v/>
      </c>
      <c r="M109" s="65"/>
      <c r="N109" s="366"/>
      <c r="O109" s="65"/>
      <c r="P109" s="56"/>
      <c r="Q109" s="184"/>
      <c r="R109" s="184"/>
    </row>
    <row r="110" spans="1:18" s="185" customFormat="1" ht="33" hidden="1" customHeight="1" outlineLevel="2" thickBot="1">
      <c r="A110" s="442" t="s">
        <v>215</v>
      </c>
      <c r="B110" s="474" t="s">
        <v>120</v>
      </c>
      <c r="C110" s="480"/>
      <c r="D110" s="480"/>
      <c r="E110" s="480"/>
      <c r="F110" s="443" t="s">
        <v>121</v>
      </c>
      <c r="G110" s="443" t="s">
        <v>303</v>
      </c>
      <c r="H110" s="503">
        <f>IF(N110="да",Калькулятор!$E$9,O110)</f>
        <v>0</v>
      </c>
      <c r="I110" s="435">
        <v>2386.21</v>
      </c>
      <c r="J110" s="488">
        <v>4772.43</v>
      </c>
      <c r="K110" s="111">
        <f>ROUND(IF(VALUE(Калькулятор!$E$10)&gt;150,J110,I110),2)</f>
        <v>2386.21</v>
      </c>
      <c r="L110" s="56" t="str">
        <f t="shared" si="6"/>
        <v>0</v>
      </c>
      <c r="M110" s="65">
        <f t="shared" ref="M110:M117" si="7">PRODUCT(VALUE(K110),IF(H110="",0,VALUE(H110)))</f>
        <v>0</v>
      </c>
      <c r="N110" s="366" t="s">
        <v>425</v>
      </c>
      <c r="O110" s="65"/>
      <c r="P110" s="56"/>
      <c r="Q110" s="184"/>
      <c r="R110" s="184"/>
    </row>
    <row r="111" spans="1:18" s="185" customFormat="1" ht="33" hidden="1" customHeight="1" outlineLevel="2" thickBot="1">
      <c r="A111" s="442" t="s">
        <v>216</v>
      </c>
      <c r="B111" s="474" t="s">
        <v>122</v>
      </c>
      <c r="C111" s="480"/>
      <c r="D111" s="480"/>
      <c r="E111" s="480"/>
      <c r="F111" s="443" t="s">
        <v>121</v>
      </c>
      <c r="G111" s="443" t="s">
        <v>303</v>
      </c>
      <c r="H111" s="503">
        <f>IF(N111="да",Калькулятор!$E$9,O111)</f>
        <v>0</v>
      </c>
      <c r="I111" s="435">
        <v>2898.49</v>
      </c>
      <c r="J111" s="489">
        <v>5796.98</v>
      </c>
      <c r="K111" s="111">
        <f>ROUND(IF(VALUE(Калькулятор!$E$10)&gt;150,J111,I111),2)</f>
        <v>2898.49</v>
      </c>
      <c r="L111" s="56" t="str">
        <f t="shared" si="6"/>
        <v>0</v>
      </c>
      <c r="M111" s="65">
        <f t="shared" si="7"/>
        <v>0</v>
      </c>
      <c r="N111" s="366" t="s">
        <v>425</v>
      </c>
      <c r="O111" s="65"/>
      <c r="P111" s="56"/>
      <c r="Q111" s="184"/>
      <c r="R111" s="184"/>
    </row>
    <row r="112" spans="1:18" s="185" customFormat="1" ht="33" hidden="1" customHeight="1" outlineLevel="2" thickBot="1">
      <c r="A112" s="442" t="s">
        <v>217</v>
      </c>
      <c r="B112" s="474" t="s">
        <v>123</v>
      </c>
      <c r="C112" s="480"/>
      <c r="D112" s="480"/>
      <c r="E112" s="480"/>
      <c r="F112" s="443" t="s">
        <v>124</v>
      </c>
      <c r="G112" s="443" t="s">
        <v>303</v>
      </c>
      <c r="H112" s="503">
        <f>IF(N112="да",Калькулятор!$E$9,O112)</f>
        <v>0</v>
      </c>
      <c r="I112" s="435">
        <v>3179.71</v>
      </c>
      <c r="J112" s="489">
        <v>6359.42</v>
      </c>
      <c r="K112" s="111">
        <f>ROUND(IF(VALUE(Калькулятор!$E$10)&gt;150,J112,I112),2)</f>
        <v>3179.71</v>
      </c>
      <c r="L112" s="56" t="str">
        <f t="shared" si="6"/>
        <v>0</v>
      </c>
      <c r="M112" s="65">
        <f t="shared" si="7"/>
        <v>0</v>
      </c>
      <c r="N112" s="366" t="s">
        <v>425</v>
      </c>
      <c r="O112" s="65"/>
      <c r="P112" s="56"/>
      <c r="Q112" s="184"/>
      <c r="R112" s="184"/>
    </row>
    <row r="113" spans="1:18" s="185" customFormat="1" ht="33" hidden="1" customHeight="1" outlineLevel="2" thickBot="1">
      <c r="A113" s="442" t="s">
        <v>218</v>
      </c>
      <c r="B113" s="474" t="s">
        <v>125</v>
      </c>
      <c r="C113" s="480"/>
      <c r="D113" s="480"/>
      <c r="E113" s="480"/>
      <c r="F113" s="443" t="s">
        <v>121</v>
      </c>
      <c r="G113" s="443" t="s">
        <v>309</v>
      </c>
      <c r="H113" s="503">
        <f>IF(N113="да",Калькулятор!$E$9,O113)</f>
        <v>0</v>
      </c>
      <c r="I113" s="435">
        <v>1528.27</v>
      </c>
      <c r="J113" s="489">
        <v>3056.54</v>
      </c>
      <c r="K113" s="111">
        <f>ROUND(IF(VALUE(Калькулятор!$E$10)&gt;150,J113,I113),2)</f>
        <v>1528.27</v>
      </c>
      <c r="L113" s="56" t="str">
        <f t="shared" si="6"/>
        <v>0</v>
      </c>
      <c r="M113" s="65">
        <f t="shared" si="7"/>
        <v>0</v>
      </c>
      <c r="N113" s="366" t="s">
        <v>425</v>
      </c>
      <c r="O113" s="65"/>
      <c r="P113" s="56"/>
      <c r="Q113" s="184"/>
      <c r="R113" s="184"/>
    </row>
    <row r="114" spans="1:18" s="185" customFormat="1" ht="33" hidden="1" customHeight="1" outlineLevel="2" thickBot="1">
      <c r="A114" s="442" t="s">
        <v>219</v>
      </c>
      <c r="B114" s="474" t="s">
        <v>126</v>
      </c>
      <c r="C114" s="480"/>
      <c r="D114" s="480"/>
      <c r="E114" s="480"/>
      <c r="F114" s="443" t="s">
        <v>121</v>
      </c>
      <c r="G114" s="443" t="s">
        <v>309</v>
      </c>
      <c r="H114" s="503">
        <f>IF(N114="да",Калькулятор!$E$9,O114)</f>
        <v>0</v>
      </c>
      <c r="I114" s="435">
        <v>1851.52</v>
      </c>
      <c r="J114" s="489">
        <v>3703.04</v>
      </c>
      <c r="K114" s="111">
        <f>ROUND(IF(VALUE(Калькулятор!$E$10)&gt;150,J114,I114),2)</f>
        <v>1851.52</v>
      </c>
      <c r="L114" s="56" t="str">
        <f t="shared" si="6"/>
        <v>0</v>
      </c>
      <c r="M114" s="65">
        <f t="shared" si="7"/>
        <v>0</v>
      </c>
      <c r="N114" s="366" t="s">
        <v>425</v>
      </c>
      <c r="O114" s="65"/>
      <c r="P114" s="56"/>
      <c r="Q114" s="184"/>
      <c r="R114" s="184"/>
    </row>
    <row r="115" spans="1:18" s="185" customFormat="1" ht="33" hidden="1" customHeight="1" outlineLevel="2" thickBot="1">
      <c r="A115" s="442" t="s">
        <v>220</v>
      </c>
      <c r="B115" s="474" t="s">
        <v>127</v>
      </c>
      <c r="C115" s="480"/>
      <c r="D115" s="480"/>
      <c r="E115" s="480"/>
      <c r="F115" s="443" t="s">
        <v>124</v>
      </c>
      <c r="G115" s="443" t="s">
        <v>309</v>
      </c>
      <c r="H115" s="503">
        <f>IF(N115="да",Калькулятор!$E$9,O115)</f>
        <v>0</v>
      </c>
      <c r="I115" s="435">
        <v>2030.77</v>
      </c>
      <c r="J115" s="489">
        <v>4061.54</v>
      </c>
      <c r="K115" s="111">
        <f>ROUND(IF(VALUE(Калькулятор!$E$10)&gt;150,J115,I115),2)</f>
        <v>2030.77</v>
      </c>
      <c r="L115" s="56" t="str">
        <f t="shared" si="6"/>
        <v>0</v>
      </c>
      <c r="M115" s="65">
        <f t="shared" si="7"/>
        <v>0</v>
      </c>
      <c r="N115" s="366" t="s">
        <v>425</v>
      </c>
      <c r="O115" s="65"/>
      <c r="P115" s="56"/>
      <c r="Q115" s="184"/>
      <c r="R115" s="184"/>
    </row>
    <row r="116" spans="1:18" s="185" customFormat="1" ht="33" hidden="1" customHeight="1" outlineLevel="2" thickBot="1">
      <c r="A116" s="442" t="s">
        <v>221</v>
      </c>
      <c r="B116" s="474" t="s">
        <v>128</v>
      </c>
      <c r="C116" s="480"/>
      <c r="D116" s="480"/>
      <c r="E116" s="480"/>
      <c r="F116" s="443" t="s">
        <v>124</v>
      </c>
      <c r="G116" s="443" t="s">
        <v>311</v>
      </c>
      <c r="H116" s="503">
        <f>IF(N116="да",Калькулятор!$E$9,O116)</f>
        <v>0</v>
      </c>
      <c r="I116" s="435">
        <v>1483.61</v>
      </c>
      <c r="J116" s="489">
        <v>2967.23</v>
      </c>
      <c r="K116" s="111">
        <f>ROUND(IF(VALUE(Калькулятор!$E$10)&gt;150,J116,I116),2)</f>
        <v>1483.61</v>
      </c>
      <c r="L116" s="56" t="str">
        <f t="shared" si="6"/>
        <v>0</v>
      </c>
      <c r="M116" s="65">
        <f t="shared" si="7"/>
        <v>0</v>
      </c>
      <c r="N116" s="366" t="s">
        <v>425</v>
      </c>
      <c r="O116" s="65"/>
      <c r="P116" s="56"/>
      <c r="Q116" s="184"/>
      <c r="R116" s="184"/>
    </row>
    <row r="117" spans="1:18" s="185" customFormat="1" ht="33" hidden="1" customHeight="1" outlineLevel="2" thickBot="1">
      <c r="A117" s="442" t="s">
        <v>222</v>
      </c>
      <c r="B117" s="474" t="s">
        <v>129</v>
      </c>
      <c r="C117" s="480"/>
      <c r="D117" s="480"/>
      <c r="E117" s="480"/>
      <c r="F117" s="443" t="s">
        <v>124</v>
      </c>
      <c r="G117" s="443" t="s">
        <v>311</v>
      </c>
      <c r="H117" s="503">
        <f>IF(N117="да",Калькулятор!$E$9,O117)</f>
        <v>0</v>
      </c>
      <c r="I117" s="435">
        <v>1848.04</v>
      </c>
      <c r="J117" s="491">
        <v>3696.08</v>
      </c>
      <c r="K117" s="111">
        <f>ROUND(IF(VALUE(Калькулятор!$E$10)&gt;150,J117,I117),2)</f>
        <v>1848.04</v>
      </c>
      <c r="L117" s="56" t="str">
        <f t="shared" si="6"/>
        <v>0</v>
      </c>
      <c r="M117" s="65">
        <f t="shared" si="7"/>
        <v>0</v>
      </c>
      <c r="N117" s="366" t="s">
        <v>425</v>
      </c>
      <c r="O117" s="65"/>
      <c r="P117" s="56"/>
      <c r="Q117" s="184"/>
      <c r="R117" s="184"/>
    </row>
    <row r="118" spans="1:18" s="185" customFormat="1" ht="33" customHeight="1" outlineLevel="1" collapsed="1" thickBot="1">
      <c r="A118" s="439" t="s">
        <v>306</v>
      </c>
      <c r="B118" s="552" t="s">
        <v>316</v>
      </c>
      <c r="C118" s="553"/>
      <c r="D118" s="553"/>
      <c r="E118" s="553"/>
      <c r="F118" s="553"/>
      <c r="G118" s="553"/>
      <c r="H118" s="440"/>
      <c r="I118" s="440"/>
      <c r="J118" s="441"/>
      <c r="K118" s="112" t="s">
        <v>241</v>
      </c>
      <c r="L118" s="56" t="str">
        <f t="shared" si="6"/>
        <v/>
      </c>
      <c r="M118" s="65"/>
      <c r="N118" s="366"/>
      <c r="O118" s="65"/>
      <c r="P118" s="56"/>
      <c r="Q118" s="184"/>
      <c r="R118" s="184"/>
    </row>
    <row r="119" spans="1:18" s="185" customFormat="1" ht="33" hidden="1" customHeight="1" outlineLevel="2" thickBot="1">
      <c r="A119" s="442" t="s">
        <v>223</v>
      </c>
      <c r="B119" s="474" t="s">
        <v>130</v>
      </c>
      <c r="C119" s="480"/>
      <c r="D119" s="480"/>
      <c r="E119" s="480"/>
      <c r="F119" s="443" t="s">
        <v>121</v>
      </c>
      <c r="G119" s="443" t="s">
        <v>303</v>
      </c>
      <c r="H119" s="503">
        <f>IF(N119="да",Калькулятор!$E$9,O119)</f>
        <v>0</v>
      </c>
      <c r="I119" s="435">
        <v>3674.88</v>
      </c>
      <c r="J119" s="488">
        <v>7349.76</v>
      </c>
      <c r="K119" s="111">
        <f>ROUND(IF(VALUE(Калькулятор!$E$10)&gt;150,J119,I119),2)</f>
        <v>3674.88</v>
      </c>
      <c r="L119" s="56" t="str">
        <f t="shared" si="6"/>
        <v>0</v>
      </c>
      <c r="M119" s="65">
        <f t="shared" ref="M119:M127" si="8">PRODUCT(VALUE(K119),IF(H119="",0,VALUE(H119)))</f>
        <v>0</v>
      </c>
      <c r="N119" s="366" t="s">
        <v>425</v>
      </c>
      <c r="O119" s="65"/>
      <c r="P119" s="56"/>
      <c r="Q119" s="184"/>
      <c r="R119" s="184"/>
    </row>
    <row r="120" spans="1:18" s="185" customFormat="1" ht="33" hidden="1" customHeight="1" outlineLevel="2" thickBot="1">
      <c r="A120" s="442" t="s">
        <v>224</v>
      </c>
      <c r="B120" s="474" t="s">
        <v>131</v>
      </c>
      <c r="C120" s="480"/>
      <c r="D120" s="480"/>
      <c r="E120" s="480"/>
      <c r="F120" s="443" t="s">
        <v>121</v>
      </c>
      <c r="G120" s="443" t="s">
        <v>303</v>
      </c>
      <c r="H120" s="503">
        <f>IF(N120="да",Калькулятор!$E$9,O120)</f>
        <v>0</v>
      </c>
      <c r="I120" s="435">
        <v>4980.66</v>
      </c>
      <c r="J120" s="489">
        <v>9961.31</v>
      </c>
      <c r="K120" s="111">
        <f>ROUND(IF(VALUE(Калькулятор!$E$10)&gt;150,J120,I120),2)</f>
        <v>4980.66</v>
      </c>
      <c r="L120" s="56" t="str">
        <f t="shared" si="6"/>
        <v>0</v>
      </c>
      <c r="M120" s="65">
        <f t="shared" si="8"/>
        <v>0</v>
      </c>
      <c r="N120" s="366" t="s">
        <v>425</v>
      </c>
      <c r="O120" s="65"/>
      <c r="P120" s="56"/>
      <c r="Q120" s="184"/>
      <c r="R120" s="184"/>
    </row>
    <row r="121" spans="1:18" s="185" customFormat="1" ht="33" hidden="1" customHeight="1" outlineLevel="2" thickBot="1">
      <c r="A121" s="442" t="s">
        <v>225</v>
      </c>
      <c r="B121" s="474" t="s">
        <v>132</v>
      </c>
      <c r="C121" s="480"/>
      <c r="D121" s="480"/>
      <c r="E121" s="480"/>
      <c r="F121" s="443" t="s">
        <v>124</v>
      </c>
      <c r="G121" s="443" t="s">
        <v>303</v>
      </c>
      <c r="H121" s="503">
        <f>IF(N121="да",Калькулятор!$E$9,O121)</f>
        <v>0</v>
      </c>
      <c r="I121" s="435">
        <v>6289.07</v>
      </c>
      <c r="J121" s="489">
        <v>12578.13</v>
      </c>
      <c r="K121" s="111">
        <f>ROUND(IF(VALUE(Калькулятор!$E$10)&gt;150,J121,I121),2)</f>
        <v>6289.07</v>
      </c>
      <c r="L121" s="56" t="str">
        <f t="shared" si="6"/>
        <v>0</v>
      </c>
      <c r="M121" s="65">
        <f t="shared" si="8"/>
        <v>0</v>
      </c>
      <c r="N121" s="366" t="s">
        <v>425</v>
      </c>
      <c r="O121" s="65"/>
      <c r="P121" s="56"/>
      <c r="Q121" s="184"/>
      <c r="R121" s="184"/>
    </row>
    <row r="122" spans="1:18" s="185" customFormat="1" ht="33" hidden="1" customHeight="1" outlineLevel="2" thickBot="1">
      <c r="A122" s="442" t="s">
        <v>226</v>
      </c>
      <c r="B122" s="474" t="s">
        <v>133</v>
      </c>
      <c r="C122" s="480"/>
      <c r="D122" s="480"/>
      <c r="E122" s="480"/>
      <c r="F122" s="443" t="s">
        <v>121</v>
      </c>
      <c r="G122" s="443" t="s">
        <v>309</v>
      </c>
      <c r="H122" s="503">
        <f>IF(N122="да",Калькулятор!$E$9,O122)</f>
        <v>0</v>
      </c>
      <c r="I122" s="435">
        <v>2348.4499999999998</v>
      </c>
      <c r="J122" s="489">
        <v>4696.8900000000003</v>
      </c>
      <c r="K122" s="111">
        <f>ROUND(IF(VALUE(Калькулятор!$E$10)&gt;150,J122,I122),2)</f>
        <v>2348.4499999999998</v>
      </c>
      <c r="L122" s="56" t="str">
        <f t="shared" si="6"/>
        <v>0</v>
      </c>
      <c r="M122" s="65">
        <f t="shared" si="8"/>
        <v>0</v>
      </c>
      <c r="N122" s="366" t="s">
        <v>425</v>
      </c>
      <c r="O122" s="65"/>
      <c r="P122" s="56"/>
      <c r="Q122" s="184"/>
      <c r="R122" s="184"/>
    </row>
    <row r="123" spans="1:18" s="185" customFormat="1" ht="33" hidden="1" customHeight="1" outlineLevel="2" thickBot="1">
      <c r="A123" s="442" t="s">
        <v>227</v>
      </c>
      <c r="B123" s="474" t="s">
        <v>134</v>
      </c>
      <c r="C123" s="480"/>
      <c r="D123" s="480"/>
      <c r="E123" s="480"/>
      <c r="F123" s="443" t="s">
        <v>121</v>
      </c>
      <c r="G123" s="443" t="s">
        <v>309</v>
      </c>
      <c r="H123" s="503">
        <f>IF(N123="да",Калькулятор!$E$9,O123)</f>
        <v>0</v>
      </c>
      <c r="I123" s="435">
        <v>3171.61</v>
      </c>
      <c r="J123" s="489">
        <v>6343.21</v>
      </c>
      <c r="K123" s="111">
        <f>ROUND(IF(VALUE(Калькулятор!$E$10)&gt;150,J123,I123),2)</f>
        <v>3171.61</v>
      </c>
      <c r="L123" s="56" t="str">
        <f t="shared" si="6"/>
        <v>0</v>
      </c>
      <c r="M123" s="65">
        <f t="shared" si="8"/>
        <v>0</v>
      </c>
      <c r="N123" s="366" t="s">
        <v>425</v>
      </c>
      <c r="O123" s="65"/>
      <c r="P123" s="56"/>
      <c r="Q123" s="184"/>
      <c r="R123" s="184"/>
    </row>
    <row r="124" spans="1:18" s="185" customFormat="1" ht="33" hidden="1" customHeight="1" outlineLevel="2" thickBot="1">
      <c r="A124" s="442" t="s">
        <v>228</v>
      </c>
      <c r="B124" s="474" t="s">
        <v>135</v>
      </c>
      <c r="C124" s="480"/>
      <c r="D124" s="480"/>
      <c r="E124" s="480"/>
      <c r="F124" s="443" t="s">
        <v>124</v>
      </c>
      <c r="G124" s="443" t="s">
        <v>309</v>
      </c>
      <c r="H124" s="503">
        <f>IF(N124="да",Калькулятор!$E$9,O124)</f>
        <v>0</v>
      </c>
      <c r="I124" s="435">
        <v>3961.82</v>
      </c>
      <c r="J124" s="489">
        <v>7923.63</v>
      </c>
      <c r="K124" s="111">
        <f>ROUND(IF(VALUE(Калькулятор!$E$10)&gt;150,J124,I124),2)</f>
        <v>3961.82</v>
      </c>
      <c r="L124" s="56" t="str">
        <f t="shared" si="6"/>
        <v>0</v>
      </c>
      <c r="M124" s="65">
        <f t="shared" si="8"/>
        <v>0</v>
      </c>
      <c r="N124" s="366" t="s">
        <v>425</v>
      </c>
      <c r="O124" s="65"/>
      <c r="P124" s="56"/>
      <c r="Q124" s="184"/>
      <c r="R124" s="184"/>
    </row>
    <row r="125" spans="1:18" s="185" customFormat="1" ht="33" hidden="1" customHeight="1" outlineLevel="2" thickBot="1">
      <c r="A125" s="442" t="s">
        <v>229</v>
      </c>
      <c r="B125" s="474" t="s">
        <v>136</v>
      </c>
      <c r="C125" s="480"/>
      <c r="D125" s="480"/>
      <c r="E125" s="480"/>
      <c r="F125" s="443" t="s">
        <v>124</v>
      </c>
      <c r="G125" s="443" t="s">
        <v>311</v>
      </c>
      <c r="H125" s="503">
        <f>IF(N125="да",Калькулятор!$E$9,O125)</f>
        <v>0</v>
      </c>
      <c r="I125" s="435">
        <v>1521.72</v>
      </c>
      <c r="J125" s="489">
        <v>3043.43</v>
      </c>
      <c r="K125" s="111">
        <f>ROUND(IF(VALUE(Калькулятор!$E$10)&gt;150,J125,I125),2)</f>
        <v>1521.72</v>
      </c>
      <c r="L125" s="56" t="str">
        <f t="shared" si="6"/>
        <v>0</v>
      </c>
      <c r="M125" s="65">
        <f t="shared" si="8"/>
        <v>0</v>
      </c>
      <c r="N125" s="366" t="s">
        <v>425</v>
      </c>
      <c r="O125" s="65"/>
      <c r="P125" s="56"/>
      <c r="Q125" s="184"/>
      <c r="R125" s="184"/>
    </row>
    <row r="126" spans="1:18" s="185" customFormat="1" ht="33" hidden="1" customHeight="1" outlineLevel="2" thickBot="1">
      <c r="A126" s="442" t="s">
        <v>230</v>
      </c>
      <c r="B126" s="474" t="s">
        <v>137</v>
      </c>
      <c r="C126" s="480"/>
      <c r="D126" s="480"/>
      <c r="E126" s="480"/>
      <c r="F126" s="443" t="s">
        <v>124</v>
      </c>
      <c r="G126" s="443" t="s">
        <v>311</v>
      </c>
      <c r="H126" s="503">
        <f>IF(N126="да",Калькулятор!$E$9,O126)</f>
        <v>0</v>
      </c>
      <c r="I126" s="435">
        <v>2036.72</v>
      </c>
      <c r="J126" s="489">
        <v>4073.44</v>
      </c>
      <c r="K126" s="111">
        <f>ROUND(IF(VALUE(Калькулятор!$E$10)&gt;150,J126,I126),2)</f>
        <v>2036.72</v>
      </c>
      <c r="L126" s="56" t="str">
        <f t="shared" si="6"/>
        <v>0</v>
      </c>
      <c r="M126" s="65">
        <f t="shared" si="8"/>
        <v>0</v>
      </c>
      <c r="N126" s="366" t="s">
        <v>425</v>
      </c>
      <c r="O126" s="65"/>
      <c r="P126" s="56"/>
      <c r="Q126" s="184"/>
      <c r="R126" s="184"/>
    </row>
    <row r="127" spans="1:18" s="185" customFormat="1" ht="33" hidden="1" customHeight="1" outlineLevel="2" thickBot="1">
      <c r="A127" s="442" t="s">
        <v>231</v>
      </c>
      <c r="B127" s="474" t="s">
        <v>138</v>
      </c>
      <c r="C127" s="480"/>
      <c r="D127" s="480"/>
      <c r="E127" s="480"/>
      <c r="F127" s="443" t="s">
        <v>124</v>
      </c>
      <c r="G127" s="443" t="s">
        <v>311</v>
      </c>
      <c r="H127" s="503">
        <f>IF(N127="да",Калькулятор!$E$9,O127)</f>
        <v>0</v>
      </c>
      <c r="I127" s="435">
        <v>2530.6</v>
      </c>
      <c r="J127" s="491">
        <v>5061.2</v>
      </c>
      <c r="K127" s="111">
        <f>ROUND(IF(VALUE(Калькулятор!$E$10)&gt;150,J127,I127),2)</f>
        <v>2530.6</v>
      </c>
      <c r="L127" s="56" t="str">
        <f t="shared" si="6"/>
        <v>0</v>
      </c>
      <c r="M127" s="65">
        <f t="shared" si="8"/>
        <v>0</v>
      </c>
      <c r="N127" s="366" t="s">
        <v>425</v>
      </c>
      <c r="O127" s="65"/>
      <c r="P127" s="56"/>
      <c r="Q127" s="184"/>
      <c r="R127" s="184"/>
    </row>
    <row r="128" spans="1:18" s="185" customFormat="1" ht="33" customHeight="1" outlineLevel="1" collapsed="1" thickBot="1">
      <c r="A128" s="439" t="s">
        <v>307</v>
      </c>
      <c r="B128" s="552" t="s">
        <v>139</v>
      </c>
      <c r="C128" s="553"/>
      <c r="D128" s="553"/>
      <c r="E128" s="553"/>
      <c r="F128" s="553"/>
      <c r="G128" s="553"/>
      <c r="H128" s="440"/>
      <c r="I128" s="440"/>
      <c r="J128" s="441"/>
      <c r="K128" s="112" t="s">
        <v>241</v>
      </c>
      <c r="L128" s="56" t="str">
        <f t="shared" si="6"/>
        <v/>
      </c>
      <c r="M128" s="65"/>
      <c r="N128" s="366"/>
      <c r="O128" s="65"/>
      <c r="P128" s="56"/>
      <c r="Q128" s="184"/>
      <c r="R128" s="184"/>
    </row>
    <row r="129" spans="1:18" s="185" customFormat="1" ht="33" hidden="1" customHeight="1" outlineLevel="2" thickBot="1">
      <c r="A129" s="442" t="s">
        <v>232</v>
      </c>
      <c r="B129" s="474" t="s">
        <v>140</v>
      </c>
      <c r="C129" s="480"/>
      <c r="D129" s="480"/>
      <c r="E129" s="480"/>
      <c r="F129" s="443" t="s">
        <v>141</v>
      </c>
      <c r="G129" s="443" t="s">
        <v>317</v>
      </c>
      <c r="H129" s="503">
        <f>IF(N129="да",Калькулятор!$E$9,O129)</f>
        <v>0</v>
      </c>
      <c r="I129" s="435">
        <v>1106.31</v>
      </c>
      <c r="J129" s="488">
        <v>2212.63</v>
      </c>
      <c r="K129" s="111">
        <f>ROUND(IF(VALUE(Калькулятор!$E$10)&gt;150,J129,I129),2)</f>
        <v>1106.31</v>
      </c>
      <c r="L129" s="56" t="str">
        <f t="shared" si="6"/>
        <v>0</v>
      </c>
      <c r="M129" s="65">
        <f>PRODUCT(VALUE(K129),IF(H129="",0,VALUE(H129)))</f>
        <v>0</v>
      </c>
      <c r="N129" s="366" t="s">
        <v>425</v>
      </c>
      <c r="O129" s="65"/>
      <c r="P129" s="56"/>
      <c r="Q129" s="184"/>
      <c r="R129" s="184"/>
    </row>
    <row r="130" spans="1:18" s="185" customFormat="1" ht="33" hidden="1" customHeight="1" outlineLevel="2" thickBot="1">
      <c r="A130" s="442" t="s">
        <v>233</v>
      </c>
      <c r="B130" s="474" t="s">
        <v>142</v>
      </c>
      <c r="C130" s="480"/>
      <c r="D130" s="480"/>
      <c r="E130" s="480"/>
      <c r="F130" s="443" t="s">
        <v>141</v>
      </c>
      <c r="G130" s="443" t="s">
        <v>318</v>
      </c>
      <c r="H130" s="503">
        <f>IF(N130="да",Калькулятор!$E$9,O130)</f>
        <v>0</v>
      </c>
      <c r="I130" s="435">
        <v>712.47</v>
      </c>
      <c r="J130" s="489">
        <v>1424.94</v>
      </c>
      <c r="K130" s="111">
        <f>ROUND(IF(VALUE(Калькулятор!$E$10)&gt;150,J130,I130),2)</f>
        <v>712.47</v>
      </c>
      <c r="L130" s="56" t="str">
        <f t="shared" si="6"/>
        <v>0</v>
      </c>
      <c r="M130" s="65">
        <f>PRODUCT(VALUE(K130),IF(H130="",0,VALUE(H130)))</f>
        <v>0</v>
      </c>
      <c r="N130" s="366" t="s">
        <v>425</v>
      </c>
      <c r="O130" s="65"/>
      <c r="P130" s="56"/>
      <c r="Q130" s="184"/>
      <c r="R130" s="184"/>
    </row>
    <row r="131" spans="1:18" s="185" customFormat="1" ht="33" hidden="1" customHeight="1" outlineLevel="2" thickBot="1">
      <c r="A131" s="442" t="s">
        <v>234</v>
      </c>
      <c r="B131" s="474" t="s">
        <v>143</v>
      </c>
      <c r="C131" s="480"/>
      <c r="D131" s="480"/>
      <c r="E131" s="480"/>
      <c r="F131" s="443" t="s">
        <v>141</v>
      </c>
      <c r="G131" s="443" t="s">
        <v>319</v>
      </c>
      <c r="H131" s="503">
        <f>IF(N131="да",Калькулятор!$E$9,O131)</f>
        <v>0</v>
      </c>
      <c r="I131" s="435">
        <v>488.36</v>
      </c>
      <c r="J131" s="489">
        <v>976.73</v>
      </c>
      <c r="K131" s="111">
        <f>ROUND(IF(VALUE(Калькулятор!$E$10)&gt;150,J131,I131),2)</f>
        <v>488.36</v>
      </c>
      <c r="L131" s="56" t="str">
        <f t="shared" si="6"/>
        <v>0</v>
      </c>
      <c r="M131" s="65">
        <f>PRODUCT(VALUE(K131),IF(H131="",0,VALUE(H131)))</f>
        <v>0</v>
      </c>
      <c r="N131" s="366" t="s">
        <v>425</v>
      </c>
      <c r="O131" s="65"/>
      <c r="P131" s="56"/>
      <c r="Q131" s="184"/>
      <c r="R131" s="184"/>
    </row>
    <row r="132" spans="1:18" s="185" customFormat="1" ht="33" hidden="1" customHeight="1" outlineLevel="2" thickBot="1">
      <c r="A132" s="442" t="s">
        <v>235</v>
      </c>
      <c r="B132" s="474" t="s">
        <v>144</v>
      </c>
      <c r="C132" s="480"/>
      <c r="D132" s="480"/>
      <c r="E132" s="480"/>
      <c r="F132" s="443" t="s">
        <v>141</v>
      </c>
      <c r="G132" s="443" t="s">
        <v>320</v>
      </c>
      <c r="H132" s="503">
        <f>IF(N132="да",Калькулятор!$E$9,O132)</f>
        <v>0</v>
      </c>
      <c r="I132" s="435">
        <v>334.64</v>
      </c>
      <c r="J132" s="489">
        <v>669.28</v>
      </c>
      <c r="K132" s="111">
        <f>ROUND(IF(VALUE(Калькулятор!$E$10)&gt;150,J132,I132),2)</f>
        <v>334.64</v>
      </c>
      <c r="L132" s="56" t="str">
        <f t="shared" si="6"/>
        <v>0</v>
      </c>
      <c r="M132" s="65">
        <f>PRODUCT(VALUE(K132),IF(H132="",0,VALUE(H132)))</f>
        <v>0</v>
      </c>
      <c r="N132" s="366" t="s">
        <v>425</v>
      </c>
      <c r="O132" s="65"/>
      <c r="P132" s="56"/>
      <c r="Q132" s="184"/>
      <c r="R132" s="184"/>
    </row>
    <row r="133" spans="1:18" s="185" customFormat="1" ht="33" hidden="1" customHeight="1" outlineLevel="2" thickBot="1">
      <c r="A133" s="442" t="s">
        <v>236</v>
      </c>
      <c r="B133" s="474" t="s">
        <v>145</v>
      </c>
      <c r="C133" s="480"/>
      <c r="D133" s="480"/>
      <c r="E133" s="480"/>
      <c r="F133" s="443" t="s">
        <v>141</v>
      </c>
      <c r="G133" s="443" t="s">
        <v>321</v>
      </c>
      <c r="H133" s="503">
        <f>IF(N133="да",Калькулятор!$E$9,O133)</f>
        <v>0</v>
      </c>
      <c r="I133" s="435">
        <v>227.42</v>
      </c>
      <c r="J133" s="491">
        <v>454.83</v>
      </c>
      <c r="K133" s="111">
        <f>ROUND(IF(VALUE(Калькулятор!$E$10)&gt;150,J133,I133),2)</f>
        <v>227.42</v>
      </c>
      <c r="L133" s="56" t="str">
        <f t="shared" si="6"/>
        <v>0</v>
      </c>
      <c r="M133" s="65">
        <f>PRODUCT(VALUE(K133),IF(H133="",0,VALUE(H133)))</f>
        <v>0</v>
      </c>
      <c r="N133" s="366" t="s">
        <v>425</v>
      </c>
      <c r="O133" s="65"/>
      <c r="P133" s="56"/>
      <c r="Q133" s="184"/>
      <c r="R133" s="184"/>
    </row>
    <row r="134" spans="1:18" s="185" customFormat="1" ht="33" customHeight="1" collapsed="1" thickBot="1">
      <c r="A134" s="421" t="s">
        <v>312</v>
      </c>
      <c r="B134" s="505" t="s">
        <v>331</v>
      </c>
      <c r="C134" s="506"/>
      <c r="D134" s="506"/>
      <c r="E134" s="506"/>
      <c r="F134" s="507" t="s">
        <v>241</v>
      </c>
      <c r="G134" s="508" t="s">
        <v>241</v>
      </c>
      <c r="H134" s="462" t="s">
        <v>335</v>
      </c>
      <c r="I134" s="509" t="s">
        <v>241</v>
      </c>
      <c r="J134" s="510"/>
      <c r="K134" s="183" t="s">
        <v>241</v>
      </c>
      <c r="L134" s="67" t="str">
        <f>IF(VALUE(T12)&gt;0,"да","нет")</f>
        <v>нет</v>
      </c>
      <c r="M134" s="65"/>
      <c r="N134" s="366"/>
      <c r="O134" s="65"/>
      <c r="P134" s="56"/>
      <c r="Q134" s="184"/>
      <c r="R134" s="184"/>
    </row>
    <row r="135" spans="1:18" s="185" customFormat="1" ht="34.5" hidden="1" customHeight="1" outlineLevel="1" thickBot="1">
      <c r="A135" s="442" t="s">
        <v>237</v>
      </c>
      <c r="B135" s="474" t="s">
        <v>146</v>
      </c>
      <c r="C135" s="480"/>
      <c r="D135" s="480"/>
      <c r="E135" s="480"/>
      <c r="F135" s="443" t="s">
        <v>147</v>
      </c>
      <c r="G135" s="443" t="s">
        <v>322</v>
      </c>
      <c r="H135" s="503">
        <f>IF(N135="да",Калькулятор!$E$9,O135)</f>
        <v>0</v>
      </c>
      <c r="I135" s="435">
        <v>390.83</v>
      </c>
      <c r="J135" s="488">
        <v>781.66</v>
      </c>
      <c r="K135" s="111">
        <f>ROUND(IF(VALUE(Калькулятор!$E$10)&gt;150,J135,I135),2)</f>
        <v>390.83</v>
      </c>
      <c r="L135" s="56" t="str">
        <f>CONCATENATE(H135)</f>
        <v>0</v>
      </c>
      <c r="M135" s="65">
        <f>PRODUCT(VALUE(K135),IF(H135="",0,VALUE(H135)))</f>
        <v>0</v>
      </c>
      <c r="N135" s="366" t="s">
        <v>425</v>
      </c>
      <c r="O135" s="65"/>
      <c r="P135" s="56"/>
      <c r="Q135" s="184"/>
      <c r="R135" s="184"/>
    </row>
    <row r="136" spans="1:18" s="185" customFormat="1" ht="34.5" hidden="1" customHeight="1" outlineLevel="1" thickBot="1">
      <c r="A136" s="442" t="s">
        <v>238</v>
      </c>
      <c r="B136" s="474" t="s">
        <v>384</v>
      </c>
      <c r="C136" s="480"/>
      <c r="D136" s="480"/>
      <c r="E136" s="480"/>
      <c r="F136" s="443" t="s">
        <v>147</v>
      </c>
      <c r="G136" s="443" t="s">
        <v>323</v>
      </c>
      <c r="H136" s="503">
        <f>IF(N136="да",Калькулятор!$E$9,O136)</f>
        <v>0</v>
      </c>
      <c r="I136" s="435">
        <v>443.49</v>
      </c>
      <c r="J136" s="489">
        <v>886.98</v>
      </c>
      <c r="K136" s="111">
        <f>ROUND(IF(VALUE(Калькулятор!$E$10)&gt;150,J136,I136),2)</f>
        <v>443.49</v>
      </c>
      <c r="L136" s="56" t="str">
        <f>CONCATENATE(H136)</f>
        <v>0</v>
      </c>
      <c r="M136" s="65">
        <f>PRODUCT(VALUE(K136),IF(H136="",0,VALUE(H136)))</f>
        <v>0</v>
      </c>
      <c r="N136" s="366" t="s">
        <v>425</v>
      </c>
      <c r="O136" s="65"/>
      <c r="P136" s="56"/>
      <c r="Q136" s="184"/>
      <c r="R136" s="184"/>
    </row>
    <row r="137" spans="1:18" s="185" customFormat="1" ht="36" hidden="1" customHeight="1" outlineLevel="1" thickBot="1">
      <c r="A137" s="442" t="s">
        <v>239</v>
      </c>
      <c r="B137" s="474" t="s">
        <v>385</v>
      </c>
      <c r="C137" s="480"/>
      <c r="D137" s="480"/>
      <c r="E137" s="480"/>
      <c r="F137" s="443" t="s">
        <v>147</v>
      </c>
      <c r="G137" s="443" t="s">
        <v>324</v>
      </c>
      <c r="H137" s="503">
        <f>IF(N137="да",Калькулятор!$E$9,O137)</f>
        <v>0</v>
      </c>
      <c r="I137" s="435">
        <v>503.19</v>
      </c>
      <c r="J137" s="491">
        <v>1006.37</v>
      </c>
      <c r="K137" s="111">
        <f>ROUND(IF(VALUE(Калькулятор!$E$10)&gt;150,J137,I137),2)</f>
        <v>503.19</v>
      </c>
      <c r="L137" s="56" t="str">
        <f>CONCATENATE(H137)</f>
        <v>0</v>
      </c>
      <c r="M137" s="65">
        <f>PRODUCT(VALUE(K137),IF(H137="",0,VALUE(H137)))</f>
        <v>0</v>
      </c>
      <c r="N137" s="366" t="s">
        <v>425</v>
      </c>
      <c r="O137" s="65"/>
      <c r="P137" s="56"/>
      <c r="Q137" s="184"/>
      <c r="R137" s="184"/>
    </row>
    <row r="138" spans="1:18" s="185" customFormat="1" ht="29.25" customHeight="1" collapsed="1" thickBot="1">
      <c r="A138" s="421" t="s">
        <v>314</v>
      </c>
      <c r="B138" s="511" t="s">
        <v>330</v>
      </c>
      <c r="C138" s="511"/>
      <c r="D138" s="511"/>
      <c r="E138" s="511"/>
      <c r="F138" s="508" t="s">
        <v>241</v>
      </c>
      <c r="G138" s="508" t="s">
        <v>241</v>
      </c>
      <c r="H138" s="462" t="s">
        <v>334</v>
      </c>
      <c r="I138" s="509" t="s">
        <v>241</v>
      </c>
      <c r="J138" s="512"/>
      <c r="K138" s="187" t="s">
        <v>241</v>
      </c>
      <c r="L138" s="67" t="str">
        <f>IF(VALUE(T14)&gt;0,"да","нет")</f>
        <v>нет</v>
      </c>
      <c r="M138" s="65"/>
      <c r="N138" s="366"/>
      <c r="O138" s="65"/>
      <c r="P138" s="56"/>
      <c r="Q138" s="184"/>
      <c r="R138" s="184"/>
    </row>
    <row r="139" spans="1:18" s="185" customFormat="1" ht="38.25" hidden="1" customHeight="1" outlineLevel="1" thickBot="1">
      <c r="A139" s="295" t="s">
        <v>240</v>
      </c>
      <c r="B139" s="296" t="s">
        <v>386</v>
      </c>
      <c r="C139" s="302"/>
      <c r="D139" s="302"/>
      <c r="E139" s="302"/>
      <c r="F139" s="304" t="s">
        <v>325</v>
      </c>
      <c r="G139" s="304" t="s">
        <v>326</v>
      </c>
      <c r="H139" s="368">
        <f>IF(N139="да",Калькулятор!$E$9,O139)</f>
        <v>0</v>
      </c>
      <c r="I139" s="300">
        <v>25.7</v>
      </c>
      <c r="J139" s="301">
        <v>51.39</v>
      </c>
      <c r="K139" s="111">
        <f>ROUND(IF(VALUE(Калькулятор!$E$10)&gt;150,J139,I139),2)</f>
        <v>25.7</v>
      </c>
      <c r="L139" s="56" t="str">
        <f>CONCATENATE(H139)</f>
        <v>0</v>
      </c>
      <c r="M139" s="65">
        <f>PRODUCT(VALUE(K139),IF(H139="",0,VALUE(H139)))</f>
        <v>0</v>
      </c>
      <c r="N139" s="366" t="s">
        <v>425</v>
      </c>
      <c r="O139" s="65"/>
      <c r="P139" s="56"/>
      <c r="Q139" s="184"/>
      <c r="R139" s="184"/>
    </row>
    <row r="140" spans="1:18">
      <c r="B140" s="202"/>
      <c r="C140" s="63"/>
      <c r="D140" s="63"/>
      <c r="E140" s="63"/>
      <c r="F140" s="198"/>
      <c r="G140" s="198"/>
      <c r="H140" s="45"/>
      <c r="I140" s="59"/>
      <c r="J140" s="59"/>
      <c r="K140" s="116"/>
    </row>
    <row r="141" spans="1:18" ht="20.25" customHeight="1">
      <c r="B141" s="203"/>
      <c r="C141" s="64"/>
      <c r="D141" s="64"/>
      <c r="E141" s="64"/>
      <c r="F141" s="271"/>
      <c r="G141" s="199"/>
      <c r="H141" s="46"/>
      <c r="I141" s="60"/>
      <c r="J141" s="60"/>
      <c r="K141" s="117"/>
    </row>
    <row r="142" spans="1:18">
      <c r="B142" s="202"/>
      <c r="C142" s="63"/>
      <c r="D142" s="63"/>
      <c r="E142" s="63"/>
      <c r="F142" s="198"/>
      <c r="G142" s="198"/>
      <c r="H142" s="45"/>
      <c r="I142" s="59"/>
      <c r="J142" s="59"/>
      <c r="K142" s="116"/>
    </row>
    <row r="143" spans="1:18">
      <c r="P143" s="75"/>
    </row>
    <row r="147" spans="17:17">
      <c r="Q147" s="74"/>
    </row>
  </sheetData>
  <mergeCells count="31">
    <mergeCell ref="B9:J10"/>
    <mergeCell ref="K5:K7"/>
    <mergeCell ref="B128:G128"/>
    <mergeCell ref="B13:G13"/>
    <mergeCell ref="B29:G29"/>
    <mergeCell ref="B73:G73"/>
    <mergeCell ref="B85:G85"/>
    <mergeCell ref="D5:D7"/>
    <mergeCell ref="B5:B7"/>
    <mergeCell ref="F5:F7"/>
    <mergeCell ref="G5:G7"/>
    <mergeCell ref="H5:H7"/>
    <mergeCell ref="J6:J7"/>
    <mergeCell ref="I6:I7"/>
    <mergeCell ref="I5:J5"/>
    <mergeCell ref="A1:J3"/>
    <mergeCell ref="B118:G118"/>
    <mergeCell ref="B109:G109"/>
    <mergeCell ref="B103:G103"/>
    <mergeCell ref="B97:G97"/>
    <mergeCell ref="B12:G12"/>
    <mergeCell ref="B19:G19"/>
    <mergeCell ref="B25:G25"/>
    <mergeCell ref="B30:G30"/>
    <mergeCell ref="B35:G35"/>
    <mergeCell ref="B40:G40"/>
    <mergeCell ref="B46:G46"/>
    <mergeCell ref="B59:G59"/>
    <mergeCell ref="A5:A7"/>
    <mergeCell ref="C5:C7"/>
    <mergeCell ref="E5:E7"/>
  </mergeCells>
  <pageMargins left="0.7" right="0.7" top="0.75" bottom="0.75" header="0.3" footer="0.3"/>
  <pageSetup paperSize="9" orientation="portrait" r:id="rId1"/>
  <legacyDrawing r:id="rId2"/>
  <controls>
    <control shapeId="2107" r:id="rId3" name="ComboBox58"/>
    <control shapeId="2106" r:id="rId4" name="ComboBox57"/>
    <control shapeId="2105" r:id="rId5" name="ComboBox56"/>
    <control shapeId="2104" r:id="rId6" name="ComboBox55"/>
    <control shapeId="2103" r:id="rId7" name="ComboBox54"/>
    <control shapeId="2102" r:id="rId8" name="ComboBox53"/>
    <control shapeId="2101" r:id="rId9" name="ComboBox52"/>
    <control shapeId="2100" r:id="rId10" name="ComboBox51"/>
    <control shapeId="2099" r:id="rId11" name="ComboBox50"/>
    <control shapeId="2098" r:id="rId12" name="ComboBox49"/>
    <control shapeId="2097" r:id="rId13" name="ComboBox48"/>
    <control shapeId="2096" r:id="rId14" name="ComboBox47"/>
    <control shapeId="2095" r:id="rId15" name="ComboBox46"/>
    <control shapeId="2094" r:id="rId16" name="ComboBox45"/>
    <control shapeId="2093" r:id="rId17" name="ComboBox44"/>
    <control shapeId="2092" r:id="rId18" name="ComboBox43"/>
    <control shapeId="2091" r:id="rId19" name="ComboBox42"/>
    <control shapeId="2090" r:id="rId20" name="ComboBox41"/>
    <control shapeId="2089" r:id="rId21" name="ComboBox40"/>
    <control shapeId="2088" r:id="rId22" name="ComboBox39"/>
    <control shapeId="2087" r:id="rId23" name="ComboBox38"/>
    <control shapeId="2086" r:id="rId24" name="ComboBox37"/>
    <control shapeId="2085" r:id="rId25" name="ComboBox36"/>
    <control shapeId="2084" r:id="rId26" name="ComboBox35"/>
    <control shapeId="2083" r:id="rId27" name="ComboBox34"/>
    <control shapeId="2082" r:id="rId28" name="ComboBox33"/>
    <control shapeId="2081" r:id="rId29" name="ComboBox32"/>
    <control shapeId="2080" r:id="rId30" name="ComboBox31"/>
    <control shapeId="2079" r:id="rId31" name="ComboBox30"/>
    <control shapeId="2078" r:id="rId32" name="ComboBox29"/>
    <control shapeId="2077" r:id="rId33" name="ComboBox28"/>
    <control shapeId="2076" r:id="rId34" name="ComboBox27"/>
    <control shapeId="2075" r:id="rId35" name="ComboBox26"/>
    <control shapeId="2074" r:id="rId36" name="ComboBox25"/>
    <control shapeId="2073" r:id="rId37" name="ComboBox24"/>
    <control shapeId="2072" r:id="rId38" name="ComboBox23"/>
    <control shapeId="2071" r:id="rId39" name="ComboBox22"/>
    <control shapeId="2070" r:id="rId40" name="ComboBox21"/>
    <control shapeId="2069" r:id="rId41" name="ComboBox20"/>
    <control shapeId="2068" r:id="rId42" name="ComboBox19"/>
    <control shapeId="2067" r:id="rId43" name="ComboBox18"/>
    <control shapeId="2066" r:id="rId44" name="ComboBox17"/>
    <control shapeId="2065" r:id="rId45" name="ComboBox16"/>
    <control shapeId="2064" r:id="rId46" name="ComboBox15"/>
    <control shapeId="2063" r:id="rId47" name="ComboBox14"/>
    <control shapeId="2062" r:id="rId48" name="ComboBox13"/>
    <control shapeId="2061" r:id="rId49" name="ComboBox12"/>
    <control shapeId="2060" r:id="rId50" name="ComboBox11"/>
    <control shapeId="2059" r:id="rId51" name="ComboBox10"/>
    <control shapeId="2058" r:id="rId52" name="ComboBox9"/>
    <control shapeId="2057" r:id="rId53" name="ComboBox8"/>
    <control shapeId="2056" r:id="rId54" name="ComboBox7"/>
    <control shapeId="2055" r:id="rId55" name="ComboBox6"/>
    <control shapeId="2053" r:id="rId56" name="ComboBox5"/>
    <control shapeId="2052" r:id="rId57" name="ComboBox4"/>
    <control shapeId="2051" r:id="rId58" name="ComboBox3"/>
    <control shapeId="2050" r:id="rId59" name="ComboBox2"/>
    <control shapeId="2049" r:id="rId60" name="ComboBox1"/>
  </control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outlinePr summaryBelow="0"/>
  </sheetPr>
  <dimension ref="A1:AC147"/>
  <sheetViews>
    <sheetView topLeftCell="A87" zoomScaleNormal="100" workbookViewId="0">
      <selection activeCell="H36" sqref="H36"/>
    </sheetView>
  </sheetViews>
  <sheetFormatPr defaultColWidth="77.140625" defaultRowHeight="15" outlineLevelRow="3"/>
  <cols>
    <col min="1" max="1" width="9.85546875" style="50" customWidth="1"/>
    <col min="2" max="2" width="69.140625" style="204" customWidth="1"/>
    <col min="3" max="4" width="10.85546875" style="50" hidden="1" customWidth="1"/>
    <col min="5" max="5" width="11.7109375" style="50" hidden="1" customWidth="1"/>
    <col min="6" max="6" width="19.7109375" style="200" customWidth="1"/>
    <col min="7" max="7" width="23.85546875" style="200" customWidth="1"/>
    <col min="8" max="8" width="15.140625" style="47" customWidth="1"/>
    <col min="9" max="9" width="21" style="61" customWidth="1"/>
    <col min="10" max="10" width="19.5703125" style="61" customWidth="1"/>
    <col min="11" max="11" width="14.7109375" style="118" hidden="1" customWidth="1"/>
    <col min="12" max="12" width="9.42578125" style="49" hidden="1" customWidth="1"/>
    <col min="13" max="15" width="9.85546875" style="49" hidden="1" customWidth="1"/>
    <col min="16" max="16" width="3" style="49" hidden="1" customWidth="1"/>
    <col min="17" max="17" width="2" style="50" hidden="1" customWidth="1"/>
    <col min="18" max="18" width="3.140625" style="50" customWidth="1"/>
    <col min="19" max="19" width="20.28515625" customWidth="1"/>
    <col min="20" max="20" width="18.5703125" customWidth="1"/>
    <col min="21" max="22" width="10.7109375" hidden="1" customWidth="1"/>
    <col min="23" max="23" width="38.85546875" hidden="1" customWidth="1"/>
    <col min="24" max="29" width="10.7109375" hidden="1" customWidth="1"/>
    <col min="30" max="61" width="10.7109375" customWidth="1"/>
  </cols>
  <sheetData>
    <row r="1" spans="1:25" ht="12" customHeight="1">
      <c r="A1" s="581" t="s">
        <v>462</v>
      </c>
      <c r="B1" s="581"/>
      <c r="C1" s="581"/>
      <c r="D1" s="581"/>
      <c r="E1" s="581"/>
      <c r="F1" s="581"/>
      <c r="G1" s="581"/>
      <c r="H1" s="581"/>
      <c r="I1" s="581"/>
      <c r="J1" s="581"/>
      <c r="K1" s="114"/>
    </row>
    <row r="2" spans="1:25" ht="27" customHeight="1">
      <c r="A2" s="581"/>
      <c r="B2" s="581"/>
      <c r="C2" s="581"/>
      <c r="D2" s="581"/>
      <c r="E2" s="581"/>
      <c r="F2" s="581"/>
      <c r="G2" s="581"/>
      <c r="H2" s="581"/>
      <c r="I2" s="581"/>
      <c r="J2" s="581"/>
      <c r="K2" s="114"/>
      <c r="Q2" s="49"/>
      <c r="R2" s="49"/>
      <c r="S2" s="51" t="s">
        <v>242</v>
      </c>
      <c r="T2" s="279">
        <f>SUM(M10:M40)</f>
        <v>2753.96</v>
      </c>
      <c r="V2">
        <f>VALUE(T2)*3.77</f>
        <v>10382.4292</v>
      </c>
      <c r="Y2" s="47">
        <f>SUM(M10:M40)</f>
        <v>2753.96</v>
      </c>
    </row>
    <row r="3" spans="1:25" ht="12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114"/>
      <c r="Q3" s="49"/>
      <c r="R3" s="49"/>
      <c r="S3" s="52"/>
      <c r="T3" s="50"/>
    </row>
    <row r="4" spans="1:25" ht="21" customHeight="1" thickBot="1">
      <c r="A4" s="62"/>
      <c r="B4" s="201"/>
      <c r="C4" s="62"/>
      <c r="D4" s="62"/>
      <c r="E4" s="62"/>
      <c r="F4" s="195"/>
      <c r="G4" s="195"/>
      <c r="H4" s="281"/>
      <c r="I4" s="89"/>
      <c r="J4" s="89"/>
      <c r="K4" s="115"/>
      <c r="Q4" s="49"/>
      <c r="R4" s="49"/>
      <c r="S4" s="51" t="s">
        <v>426</v>
      </c>
      <c r="T4" s="279">
        <f>SUM(M48:M51,M61:M65)</f>
        <v>0</v>
      </c>
      <c r="V4">
        <f>VALUE(T4)*4.45</f>
        <v>0</v>
      </c>
      <c r="Y4" s="83">
        <f>SUM(M45:M68)</f>
        <v>0</v>
      </c>
    </row>
    <row r="5" spans="1:25" ht="15.75" customHeight="1" thickBot="1">
      <c r="A5" s="582" t="s">
        <v>243</v>
      </c>
      <c r="B5" s="583" t="s">
        <v>414</v>
      </c>
      <c r="C5" s="584"/>
      <c r="D5" s="584"/>
      <c r="E5" s="584"/>
      <c r="F5" s="587" t="s">
        <v>244</v>
      </c>
      <c r="G5" s="587" t="s">
        <v>245</v>
      </c>
      <c r="H5" s="588" t="s">
        <v>391</v>
      </c>
      <c r="I5" s="589" t="s">
        <v>246</v>
      </c>
      <c r="J5" s="590"/>
      <c r="K5" s="569"/>
      <c r="M5" s="53"/>
      <c r="N5" s="53"/>
      <c r="O5" s="53"/>
      <c r="P5" s="53"/>
      <c r="Q5" s="53"/>
      <c r="R5" s="53"/>
      <c r="S5" s="167"/>
      <c r="T5" s="168"/>
      <c r="Y5" s="84"/>
    </row>
    <row r="6" spans="1:25" ht="21.75" customHeight="1" thickBot="1">
      <c r="A6" s="582"/>
      <c r="B6" s="583"/>
      <c r="C6" s="585"/>
      <c r="D6" s="585"/>
      <c r="E6" s="585"/>
      <c r="F6" s="587"/>
      <c r="G6" s="587"/>
      <c r="H6" s="588"/>
      <c r="I6" s="593" t="s">
        <v>401</v>
      </c>
      <c r="J6" s="593" t="s">
        <v>402</v>
      </c>
      <c r="K6" s="569"/>
      <c r="Q6" s="49"/>
      <c r="R6" s="49"/>
      <c r="S6" s="51" t="s">
        <v>427</v>
      </c>
      <c r="T6" s="279">
        <f>SUM(M53:M56,M67:M68)</f>
        <v>0</v>
      </c>
      <c r="V6" s="47">
        <f>VALUE(T10)*5.63</f>
        <v>0</v>
      </c>
      <c r="Y6" s="83">
        <f>SUM(M73:M133)</f>
        <v>0</v>
      </c>
    </row>
    <row r="7" spans="1:25" ht="20.25" customHeight="1" thickBot="1">
      <c r="A7" s="582"/>
      <c r="B7" s="583"/>
      <c r="C7" s="586"/>
      <c r="D7" s="586"/>
      <c r="E7" s="586"/>
      <c r="F7" s="587"/>
      <c r="G7" s="587"/>
      <c r="H7" s="588"/>
      <c r="I7" s="594"/>
      <c r="J7" s="594"/>
      <c r="K7" s="569"/>
      <c r="M7" s="53"/>
      <c r="N7" s="53"/>
      <c r="O7" s="53"/>
      <c r="P7" s="53"/>
      <c r="Q7" s="53"/>
      <c r="R7" s="53"/>
      <c r="S7" s="167"/>
      <c r="T7" s="168"/>
      <c r="Y7" s="84"/>
    </row>
    <row r="8" spans="1:25" ht="19.5" customHeight="1" thickBot="1">
      <c r="A8" s="394">
        <v>1</v>
      </c>
      <c r="B8" s="392">
        <v>2</v>
      </c>
      <c r="C8" s="394">
        <v>3</v>
      </c>
      <c r="D8" s="394">
        <v>4</v>
      </c>
      <c r="E8" s="394">
        <v>5</v>
      </c>
      <c r="F8" s="393" t="s">
        <v>390</v>
      </c>
      <c r="G8" s="393" t="s">
        <v>429</v>
      </c>
      <c r="H8" s="332" t="s">
        <v>430</v>
      </c>
      <c r="I8" s="169" t="s">
        <v>387</v>
      </c>
      <c r="J8" s="169" t="s">
        <v>388</v>
      </c>
      <c r="K8" s="107"/>
      <c r="Q8" s="49"/>
      <c r="R8" s="49"/>
      <c r="S8" s="51" t="s">
        <v>403</v>
      </c>
      <c r="T8" s="279">
        <f>SUM(M58,M70)</f>
        <v>0</v>
      </c>
      <c r="V8" s="47">
        <f>VALUE(T12)*5.63</f>
        <v>0</v>
      </c>
      <c r="Y8" s="83">
        <f>SUM(M135:M137)</f>
        <v>0</v>
      </c>
    </row>
    <row r="9" spans="1:25" ht="24" customHeight="1">
      <c r="A9" s="73"/>
      <c r="B9" s="595" t="s">
        <v>405</v>
      </c>
      <c r="C9" s="596"/>
      <c r="D9" s="596"/>
      <c r="E9" s="596"/>
      <c r="F9" s="596"/>
      <c r="G9" s="596"/>
      <c r="H9" s="596"/>
      <c r="I9" s="596"/>
      <c r="J9" s="597"/>
      <c r="K9" s="108"/>
      <c r="Q9" s="49"/>
      <c r="R9" s="49"/>
      <c r="S9" s="52"/>
      <c r="T9" s="50"/>
      <c r="Y9" s="84"/>
    </row>
    <row r="10" spans="1:25" ht="36.75" customHeight="1" thickBot="1">
      <c r="A10" s="72"/>
      <c r="B10" s="598"/>
      <c r="C10" s="599"/>
      <c r="D10" s="599"/>
      <c r="E10" s="599"/>
      <c r="F10" s="599"/>
      <c r="G10" s="599"/>
      <c r="H10" s="599"/>
      <c r="I10" s="599"/>
      <c r="J10" s="600"/>
      <c r="K10" s="108"/>
      <c r="Q10" s="49"/>
      <c r="R10" s="49"/>
      <c r="S10" s="51" t="s">
        <v>328</v>
      </c>
      <c r="T10" s="280">
        <f>SUM(M73:M133)</f>
        <v>0</v>
      </c>
      <c r="V10" s="47">
        <f>VALUE(T14)*5.63</f>
        <v>0</v>
      </c>
      <c r="Y10" s="83">
        <f>SUM(M139)</f>
        <v>0</v>
      </c>
    </row>
    <row r="11" spans="1:25" s="185" customFormat="1" ht="24" customHeight="1" thickBot="1">
      <c r="A11" s="238" t="s">
        <v>247</v>
      </c>
      <c r="B11" s="215" t="s">
        <v>67</v>
      </c>
      <c r="C11" s="215"/>
      <c r="D11" s="215"/>
      <c r="E11" s="215"/>
      <c r="F11" s="237" t="s">
        <v>241</v>
      </c>
      <c r="G11" s="237" t="s">
        <v>241</v>
      </c>
      <c r="H11" s="239" t="s">
        <v>332</v>
      </c>
      <c r="I11" s="240"/>
      <c r="J11" s="241"/>
      <c r="K11" s="109" t="s">
        <v>241</v>
      </c>
      <c r="L11" s="67" t="str">
        <f>IF(VALUE(T2)&gt;0,"да","нет")</f>
        <v>да</v>
      </c>
      <c r="M11" s="66"/>
      <c r="N11" s="66"/>
      <c r="O11" s="66"/>
      <c r="P11" s="66"/>
      <c r="Q11" s="66"/>
      <c r="R11" s="53"/>
      <c r="S11" s="54"/>
      <c r="T11" s="184"/>
    </row>
    <row r="12" spans="1:25" s="185" customFormat="1" ht="24" customHeight="1" outlineLevel="1" thickBot="1">
      <c r="A12" s="57"/>
      <c r="B12" s="601" t="s">
        <v>338</v>
      </c>
      <c r="C12" s="602"/>
      <c r="D12" s="602"/>
      <c r="E12" s="602"/>
      <c r="F12" s="602"/>
      <c r="G12" s="602"/>
      <c r="H12" s="163"/>
      <c r="I12" s="163"/>
      <c r="J12" s="164"/>
      <c r="K12" s="110" t="s">
        <v>241</v>
      </c>
      <c r="L12" s="49"/>
      <c r="M12" s="49"/>
      <c r="N12" s="49"/>
      <c r="O12" s="49"/>
      <c r="P12" s="49"/>
      <c r="Q12" s="49"/>
      <c r="R12" s="49"/>
      <c r="S12" s="51" t="s">
        <v>329</v>
      </c>
      <c r="T12" s="280">
        <f>SUM(M135:M137)</f>
        <v>0</v>
      </c>
      <c r="V12" s="216">
        <f>SUM(V2,V4,V6,V8,V10)</f>
        <v>10382.4292</v>
      </c>
    </row>
    <row r="13" spans="1:25" s="185" customFormat="1" ht="27" customHeight="1" outlineLevel="2" collapsed="1" thickBot="1">
      <c r="A13" s="57" t="s">
        <v>248</v>
      </c>
      <c r="B13" s="603" t="s">
        <v>249</v>
      </c>
      <c r="C13" s="604"/>
      <c r="D13" s="604"/>
      <c r="E13" s="604"/>
      <c r="F13" s="604"/>
      <c r="G13" s="604"/>
      <c r="H13" s="163"/>
      <c r="I13" s="163"/>
      <c r="J13" s="164"/>
      <c r="K13" s="110" t="s">
        <v>241</v>
      </c>
      <c r="L13" s="49"/>
      <c r="M13" s="49"/>
      <c r="N13" s="49"/>
      <c r="O13" s="49"/>
      <c r="P13" s="49"/>
      <c r="Q13" s="49"/>
      <c r="R13" s="49"/>
      <c r="S13" s="54"/>
      <c r="T13" s="184"/>
      <c r="V13" s="216">
        <f>SUM(V3,V5,V7,V9,V11)</f>
        <v>0</v>
      </c>
    </row>
    <row r="14" spans="1:25" s="217" customFormat="1" ht="42.75" hidden="1" customHeight="1" outlineLevel="3" thickBot="1">
      <c r="A14" s="282" t="s">
        <v>153</v>
      </c>
      <c r="B14" s="283" t="s">
        <v>342</v>
      </c>
      <c r="C14" s="284"/>
      <c r="D14" s="284"/>
      <c r="E14" s="284"/>
      <c r="F14" s="285" t="s">
        <v>250</v>
      </c>
      <c r="G14" s="285" t="s">
        <v>68</v>
      </c>
      <c r="H14" s="173"/>
      <c r="I14" s="286">
        <v>39956.5</v>
      </c>
      <c r="J14" s="287">
        <v>79913</v>
      </c>
      <c r="K14" s="111">
        <f>ROUND(IF(VALUE(Калькулятор!E10)&gt;150,J14,I14),2)</f>
        <v>39956.5</v>
      </c>
      <c r="L14" s="56" t="str">
        <f t="shared" ref="L14:L28" si="0">CONCATENATE(H14)</f>
        <v/>
      </c>
      <c r="M14" s="65">
        <f>PRODUCT(VALUE(K14),IF(H14="",0,VALUE(H14)))</f>
        <v>0</v>
      </c>
      <c r="N14" s="65"/>
      <c r="O14" s="65"/>
      <c r="P14" s="65"/>
      <c r="Q14" s="65"/>
      <c r="R14" s="56"/>
      <c r="S14" s="51" t="s">
        <v>399</v>
      </c>
      <c r="T14" s="280">
        <f>SUM(M139)</f>
        <v>0</v>
      </c>
    </row>
    <row r="15" spans="1:25" s="217" customFormat="1" ht="45" hidden="1" customHeight="1" outlineLevel="3" thickBot="1">
      <c r="A15" s="282" t="s">
        <v>154</v>
      </c>
      <c r="B15" s="283" t="s">
        <v>343</v>
      </c>
      <c r="C15" s="284"/>
      <c r="D15" s="284"/>
      <c r="E15" s="284"/>
      <c r="F15" s="285" t="s">
        <v>250</v>
      </c>
      <c r="G15" s="285" t="s">
        <v>69</v>
      </c>
      <c r="H15" s="174"/>
      <c r="I15" s="286">
        <v>60596.5</v>
      </c>
      <c r="J15" s="287">
        <v>121193</v>
      </c>
      <c r="K15" s="111">
        <f>ROUND(IF(VALUE(Калькулятор!E11)&gt;150,J15,I15),2)</f>
        <v>60596.5</v>
      </c>
      <c r="L15" s="56" t="str">
        <f t="shared" si="0"/>
        <v/>
      </c>
      <c r="M15" s="65">
        <f>PRODUCT(VALUE(K15),IF(H15="",0,VALUE(H15)))</f>
        <v>0</v>
      </c>
      <c r="N15" s="65"/>
      <c r="O15" s="65"/>
      <c r="P15" s="56"/>
      <c r="Q15" s="55"/>
      <c r="R15" s="184"/>
    </row>
    <row r="16" spans="1:25" s="217" customFormat="1" ht="46.5" hidden="1" customHeight="1" outlineLevel="3" thickBot="1">
      <c r="A16" s="282" t="s">
        <v>155</v>
      </c>
      <c r="B16" s="283" t="s">
        <v>344</v>
      </c>
      <c r="C16" s="284"/>
      <c r="D16" s="284"/>
      <c r="E16" s="284"/>
      <c r="F16" s="285" t="s">
        <v>250</v>
      </c>
      <c r="G16" s="285" t="s">
        <v>70</v>
      </c>
      <c r="H16" s="174"/>
      <c r="I16" s="286">
        <v>134048</v>
      </c>
      <c r="J16" s="287">
        <v>268096</v>
      </c>
      <c r="K16" s="111">
        <f>ROUND(IF(VALUE(Калькулятор!E12)&gt;150,J16,I16),2)</f>
        <v>134048</v>
      </c>
      <c r="L16" s="56" t="str">
        <f t="shared" si="0"/>
        <v/>
      </c>
      <c r="M16" s="65">
        <f>PRODUCT(VALUE(K16),IF(H16="",0,VALUE(H16)))</f>
        <v>0</v>
      </c>
      <c r="N16" s="65"/>
      <c r="O16" s="65"/>
      <c r="P16" s="56"/>
      <c r="Q16" s="55"/>
      <c r="R16" s="184"/>
    </row>
    <row r="17" spans="1:18" s="185" customFormat="1" ht="48.75" hidden="1" customHeight="1" outlineLevel="3" thickBot="1">
      <c r="A17" s="282" t="s">
        <v>156</v>
      </c>
      <c r="B17" s="283" t="s">
        <v>345</v>
      </c>
      <c r="C17" s="284"/>
      <c r="D17" s="284"/>
      <c r="E17" s="284"/>
      <c r="F17" s="285" t="s">
        <v>250</v>
      </c>
      <c r="G17" s="285" t="s">
        <v>71</v>
      </c>
      <c r="H17" s="174"/>
      <c r="I17" s="286">
        <v>112378</v>
      </c>
      <c r="J17" s="287">
        <v>224756</v>
      </c>
      <c r="K17" s="111">
        <f>ROUND(IF(VALUE(Калькулятор!E10)&gt;150,J17,I17),2)</f>
        <v>112378</v>
      </c>
      <c r="L17" s="56" t="str">
        <f t="shared" si="0"/>
        <v/>
      </c>
      <c r="M17" s="65">
        <f>PRODUCT(VALUE(K17),IF(H17="",0,VALUE(H17)))</f>
        <v>0</v>
      </c>
      <c r="N17" s="65"/>
      <c r="O17" s="65"/>
      <c r="P17" s="56"/>
      <c r="Q17" s="55"/>
      <c r="R17" s="184"/>
    </row>
    <row r="18" spans="1:18" s="185" customFormat="1" ht="48" hidden="1" customHeight="1" outlineLevel="3" thickBot="1">
      <c r="A18" s="282" t="s">
        <v>157</v>
      </c>
      <c r="B18" s="283" t="s">
        <v>346</v>
      </c>
      <c r="C18" s="284"/>
      <c r="D18" s="284"/>
      <c r="E18" s="284"/>
      <c r="F18" s="285" t="s">
        <v>250</v>
      </c>
      <c r="G18" s="285" t="s">
        <v>72</v>
      </c>
      <c r="H18" s="175"/>
      <c r="I18" s="286">
        <v>117133.5</v>
      </c>
      <c r="J18" s="287">
        <v>234267</v>
      </c>
      <c r="K18" s="111">
        <f>ROUND(IF(VALUE(Калькулятор!E10)&gt;150,J18,I18),2)</f>
        <v>117133.5</v>
      </c>
      <c r="L18" s="56" t="str">
        <f t="shared" si="0"/>
        <v/>
      </c>
      <c r="M18" s="120">
        <f>PRODUCT(VALUE(K18),IF(H18="",0,VALUE(H18)))</f>
        <v>0</v>
      </c>
      <c r="N18" s="120"/>
      <c r="O18" s="120"/>
      <c r="P18" s="56"/>
      <c r="Q18" s="218"/>
      <c r="R18" s="218"/>
    </row>
    <row r="19" spans="1:18" s="185" customFormat="1" ht="29.25" customHeight="1" outlineLevel="2" thickBot="1">
      <c r="A19" s="58" t="s">
        <v>251</v>
      </c>
      <c r="B19" s="605" t="s">
        <v>252</v>
      </c>
      <c r="C19" s="606"/>
      <c r="D19" s="606"/>
      <c r="E19" s="606"/>
      <c r="F19" s="606"/>
      <c r="G19" s="606"/>
      <c r="H19" s="162"/>
      <c r="I19" s="162"/>
      <c r="J19" s="165"/>
      <c r="K19" s="112" t="s">
        <v>241</v>
      </c>
      <c r="L19" s="56" t="str">
        <f t="shared" si="0"/>
        <v/>
      </c>
      <c r="M19" s="65"/>
      <c r="N19" s="65"/>
      <c r="O19" s="65"/>
      <c r="P19" s="56"/>
      <c r="Q19" s="218"/>
      <c r="R19" s="218"/>
    </row>
    <row r="20" spans="1:18" s="217" customFormat="1" ht="38.25" customHeight="1" outlineLevel="3" thickBot="1">
      <c r="A20" s="373" t="s">
        <v>158</v>
      </c>
      <c r="B20" s="374" t="s">
        <v>434</v>
      </c>
      <c r="C20" s="375"/>
      <c r="D20" s="375"/>
      <c r="E20" s="375"/>
      <c r="F20" s="376" t="s">
        <v>250</v>
      </c>
      <c r="G20" s="376" t="s">
        <v>68</v>
      </c>
      <c r="H20" s="377"/>
      <c r="I20" s="378">
        <v>94498</v>
      </c>
      <c r="J20" s="379">
        <v>188996</v>
      </c>
      <c r="K20" s="111">
        <f>ROUND(IF(VALUE(Калькулятор!E12)&gt;150,J20,I20),2)</f>
        <v>94498</v>
      </c>
      <c r="L20" s="56" t="str">
        <f t="shared" si="0"/>
        <v/>
      </c>
      <c r="M20" s="65">
        <f>PRODUCT(VALUE(K20),IF(H20="",0,VALUE(H20)))</f>
        <v>0</v>
      </c>
      <c r="N20" s="65"/>
      <c r="O20" s="65"/>
      <c r="P20" s="56"/>
      <c r="Q20" s="218"/>
      <c r="R20" s="218"/>
    </row>
    <row r="21" spans="1:18" s="217" customFormat="1" ht="33" customHeight="1" outlineLevel="3" thickBot="1">
      <c r="A21" s="373" t="s">
        <v>159</v>
      </c>
      <c r="B21" s="374" t="s">
        <v>435</v>
      </c>
      <c r="C21" s="375"/>
      <c r="D21" s="375"/>
      <c r="E21" s="375"/>
      <c r="F21" s="376" t="s">
        <v>250</v>
      </c>
      <c r="G21" s="376" t="s">
        <v>433</v>
      </c>
      <c r="H21" s="380"/>
      <c r="I21" s="378">
        <v>98038.5</v>
      </c>
      <c r="J21" s="379">
        <v>196077</v>
      </c>
      <c r="K21" s="111">
        <f>ROUND(IF(VALUE(Калькулятор!E10)&gt;150,J21,I21),2)</f>
        <v>98038.5</v>
      </c>
      <c r="L21" s="56" t="str">
        <f t="shared" si="0"/>
        <v/>
      </c>
      <c r="M21" s="65">
        <f>PRODUCT(VALUE(K21),IF(H21="",0,VALUE(H21)))</f>
        <v>0</v>
      </c>
      <c r="N21" s="65"/>
      <c r="O21" s="65"/>
      <c r="P21" s="56"/>
      <c r="Q21" s="184"/>
      <c r="R21" s="184"/>
    </row>
    <row r="22" spans="1:18" s="185" customFormat="1" ht="39" customHeight="1" outlineLevel="3" thickBot="1">
      <c r="A22" s="381" t="s">
        <v>160</v>
      </c>
      <c r="B22" s="374" t="s">
        <v>436</v>
      </c>
      <c r="C22" s="375"/>
      <c r="D22" s="375"/>
      <c r="E22" s="375"/>
      <c r="F22" s="376" t="s">
        <v>250</v>
      </c>
      <c r="G22" s="382" t="s">
        <v>437</v>
      </c>
      <c r="H22" s="383"/>
      <c r="I22" s="378">
        <v>107011.5</v>
      </c>
      <c r="J22" s="379">
        <v>214023</v>
      </c>
      <c r="K22" s="111">
        <f>ROUND(IF(VALUE(Калькулятор!E10)&gt;150,J22,I22),2)</f>
        <v>107011.5</v>
      </c>
      <c r="L22" s="56" t="str">
        <f t="shared" si="0"/>
        <v/>
      </c>
      <c r="M22" s="65">
        <f>PRODUCT(VALUE(K22),IF(H22="",0,VALUE(H22)))</f>
        <v>0</v>
      </c>
      <c r="N22" s="65"/>
      <c r="O22" s="65"/>
      <c r="P22" s="56"/>
      <c r="Q22" s="184"/>
      <c r="R22" s="184"/>
    </row>
    <row r="23" spans="1:18" s="219" customFormat="1" ht="33" customHeight="1" outlineLevel="3" thickBot="1">
      <c r="A23" s="381" t="s">
        <v>161</v>
      </c>
      <c r="B23" s="374" t="s">
        <v>438</v>
      </c>
      <c r="C23" s="375"/>
      <c r="D23" s="375"/>
      <c r="E23" s="375"/>
      <c r="F23" s="376" t="s">
        <v>250</v>
      </c>
      <c r="G23" s="376" t="s">
        <v>72</v>
      </c>
      <c r="H23" s="383"/>
      <c r="I23" s="378">
        <v>115220</v>
      </c>
      <c r="J23" s="379">
        <v>230440</v>
      </c>
      <c r="K23" s="111">
        <f>ROUND(IF(VALUE(Калькулятор!E10)&gt;150,J23,I23),2)</f>
        <v>115220</v>
      </c>
      <c r="L23" s="56" t="str">
        <f t="shared" si="0"/>
        <v/>
      </c>
      <c r="M23" s="65">
        <f>PRODUCT(VALUE(K23),IF(H23="",0,VALUE(H23)))</f>
        <v>0</v>
      </c>
      <c r="N23" s="65"/>
      <c r="O23" s="65"/>
      <c r="P23" s="56"/>
      <c r="Q23" s="184"/>
      <c r="R23" s="184"/>
    </row>
    <row r="24" spans="1:18" s="219" customFormat="1" ht="33" hidden="1" customHeight="1" outlineLevel="3" thickBot="1">
      <c r="A24" s="288" t="s">
        <v>162</v>
      </c>
      <c r="B24" s="283" t="s">
        <v>347</v>
      </c>
      <c r="C24" s="284"/>
      <c r="D24" s="284"/>
      <c r="E24" s="284"/>
      <c r="F24" s="285" t="s">
        <v>250</v>
      </c>
      <c r="G24" s="285" t="s">
        <v>72</v>
      </c>
      <c r="H24" s="177"/>
      <c r="I24" s="286">
        <v>113431.5</v>
      </c>
      <c r="J24" s="289">
        <v>226863</v>
      </c>
      <c r="K24" s="111">
        <f>ROUND(IF(VALUE(Калькулятор!E10)&gt;150,J24,I24),2)</f>
        <v>113431.5</v>
      </c>
      <c r="L24" s="56" t="str">
        <f t="shared" si="0"/>
        <v/>
      </c>
      <c r="M24" s="65">
        <f>PRODUCT(VALUE(K24),IF(H24="",0,VALUE(H24)))</f>
        <v>0</v>
      </c>
      <c r="N24" s="65"/>
      <c r="O24" s="65"/>
      <c r="P24" s="56"/>
      <c r="Q24" s="218"/>
      <c r="R24" s="218"/>
    </row>
    <row r="25" spans="1:18" s="185" customFormat="1" ht="28.5" customHeight="1" outlineLevel="2" thickBot="1">
      <c r="A25" s="58" t="s">
        <v>253</v>
      </c>
      <c r="B25" s="605" t="s">
        <v>254</v>
      </c>
      <c r="C25" s="606"/>
      <c r="D25" s="606"/>
      <c r="E25" s="606"/>
      <c r="F25" s="606"/>
      <c r="G25" s="606"/>
      <c r="H25" s="162"/>
      <c r="I25" s="162"/>
      <c r="J25" s="290" t="s">
        <v>241</v>
      </c>
      <c r="K25" s="112" t="s">
        <v>241</v>
      </c>
      <c r="L25" s="56" t="str">
        <f t="shared" si="0"/>
        <v/>
      </c>
      <c r="M25" s="65"/>
      <c r="N25" s="65"/>
      <c r="O25" s="65"/>
      <c r="P25" s="56"/>
      <c r="Q25" s="218"/>
      <c r="R25" s="218"/>
    </row>
    <row r="26" spans="1:18" s="220" customFormat="1" ht="33" customHeight="1" outlineLevel="3" thickBot="1">
      <c r="A26" s="381" t="s">
        <v>163</v>
      </c>
      <c r="B26" s="374" t="s">
        <v>441</v>
      </c>
      <c r="C26" s="375"/>
      <c r="D26" s="375"/>
      <c r="E26" s="375"/>
      <c r="F26" s="376" t="s">
        <v>250</v>
      </c>
      <c r="G26" s="382" t="s">
        <v>442</v>
      </c>
      <c r="H26" s="386"/>
      <c r="I26" s="378">
        <v>41722.5</v>
      </c>
      <c r="J26" s="378">
        <v>83445</v>
      </c>
      <c r="K26" s="111">
        <f>ROUND(IF(VALUE(Калькулятор!E10)&gt;150,J26,I26),2)</f>
        <v>41722.5</v>
      </c>
      <c r="L26" s="56" t="str">
        <f t="shared" si="0"/>
        <v/>
      </c>
      <c r="M26" s="65">
        <f>PRODUCT(VALUE(K26),IF(H26="",0,VALUE(H26)))</f>
        <v>0</v>
      </c>
      <c r="N26" s="65"/>
      <c r="O26" s="65"/>
      <c r="P26" s="56"/>
      <c r="Q26" s="184"/>
      <c r="R26" s="184"/>
    </row>
    <row r="27" spans="1:18" s="220" customFormat="1" ht="33" hidden="1" customHeight="1" outlineLevel="3" thickBot="1">
      <c r="A27" s="288" t="s">
        <v>164</v>
      </c>
      <c r="B27" s="283" t="s">
        <v>348</v>
      </c>
      <c r="C27" s="284"/>
      <c r="D27" s="284"/>
      <c r="E27" s="284"/>
      <c r="F27" s="285" t="s">
        <v>250</v>
      </c>
      <c r="G27" s="285" t="s">
        <v>71</v>
      </c>
      <c r="H27" s="176"/>
      <c r="I27" s="286">
        <v>43820.5</v>
      </c>
      <c r="J27" s="287">
        <v>87641</v>
      </c>
      <c r="K27" s="111">
        <f>ROUND(IF(VALUE(Калькулятор!E10)&gt;150,J27,I27),2)</f>
        <v>43820.5</v>
      </c>
      <c r="L27" s="56" t="str">
        <f t="shared" si="0"/>
        <v/>
      </c>
      <c r="M27" s="65">
        <f>PRODUCT(VALUE(K27),IF(H27="",0,VALUE(H27)))</f>
        <v>0</v>
      </c>
      <c r="N27" s="65"/>
      <c r="O27" s="65"/>
      <c r="P27" s="56"/>
      <c r="Q27" s="221"/>
      <c r="R27" s="221"/>
    </row>
    <row r="28" spans="1:18" s="220" customFormat="1" ht="33" customHeight="1" outlineLevel="3" thickBot="1">
      <c r="A28" s="381" t="s">
        <v>165</v>
      </c>
      <c r="B28" s="374" t="s">
        <v>439</v>
      </c>
      <c r="C28" s="375"/>
      <c r="D28" s="375"/>
      <c r="E28" s="375"/>
      <c r="F28" s="376" t="s">
        <v>250</v>
      </c>
      <c r="G28" s="376" t="s">
        <v>72</v>
      </c>
      <c r="H28" s="384"/>
      <c r="I28" s="378">
        <v>95693</v>
      </c>
      <c r="J28" s="385">
        <v>191386</v>
      </c>
      <c r="K28" s="111">
        <f>ROUND(IF(VALUE(Калькулятор!$E$10)&gt;150,J28,I28),2)</f>
        <v>95693</v>
      </c>
      <c r="L28" s="56" t="str">
        <f t="shared" si="0"/>
        <v/>
      </c>
      <c r="M28" s="65">
        <f>PRODUCT(VALUE(K28),IF(H28="",0,VALUE(H28)))</f>
        <v>0</v>
      </c>
      <c r="N28" s="65"/>
      <c r="O28" s="65"/>
      <c r="P28" s="56"/>
      <c r="Q28" s="221"/>
      <c r="R28" s="221"/>
    </row>
    <row r="29" spans="1:18" s="220" customFormat="1" ht="33" customHeight="1" outlineLevel="1" thickBot="1">
      <c r="A29" s="87"/>
      <c r="B29" s="607" t="s">
        <v>339</v>
      </c>
      <c r="C29" s="608"/>
      <c r="D29" s="608"/>
      <c r="E29" s="608"/>
      <c r="F29" s="608"/>
      <c r="G29" s="608"/>
      <c r="H29" s="291"/>
      <c r="I29" s="162"/>
      <c r="J29" s="166"/>
      <c r="K29" s="113" t="s">
        <v>241</v>
      </c>
      <c r="L29" s="56"/>
      <c r="M29" s="65"/>
      <c r="N29" s="65"/>
      <c r="O29" s="65"/>
      <c r="P29" s="56"/>
      <c r="Q29" s="184"/>
      <c r="R29" s="184"/>
    </row>
    <row r="30" spans="1:18" s="185" customFormat="1" ht="30" customHeight="1" outlineLevel="2" collapsed="1" thickBot="1">
      <c r="A30" s="58" t="s">
        <v>255</v>
      </c>
      <c r="B30" s="605" t="s">
        <v>256</v>
      </c>
      <c r="C30" s="606"/>
      <c r="D30" s="606"/>
      <c r="E30" s="606"/>
      <c r="F30" s="606"/>
      <c r="G30" s="606"/>
      <c r="H30" s="162"/>
      <c r="I30" s="162"/>
      <c r="J30" s="165"/>
      <c r="K30" s="112" t="s">
        <v>241</v>
      </c>
      <c r="L30" s="56" t="str">
        <f t="shared" ref="L30:L44" si="1">CONCATENATE(H30)</f>
        <v/>
      </c>
      <c r="M30" s="65"/>
      <c r="N30" s="65"/>
      <c r="O30" s="65"/>
      <c r="P30" s="56"/>
      <c r="Q30" s="207"/>
      <c r="R30" s="207"/>
    </row>
    <row r="31" spans="1:18" s="185" customFormat="1" ht="39" hidden="1" customHeight="1" outlineLevel="3" thickBot="1">
      <c r="A31" s="288" t="s">
        <v>166</v>
      </c>
      <c r="B31" s="283" t="s">
        <v>349</v>
      </c>
      <c r="C31" s="284"/>
      <c r="D31" s="284"/>
      <c r="E31" s="284"/>
      <c r="F31" s="285" t="s">
        <v>257</v>
      </c>
      <c r="G31" s="285" t="s">
        <v>73</v>
      </c>
      <c r="H31" s="178"/>
      <c r="I31" s="286">
        <v>135717</v>
      </c>
      <c r="J31" s="292">
        <v>271434</v>
      </c>
      <c r="K31" s="111">
        <f>ROUND(IF(VALUE(Калькулятор!$E$10)&gt;150,J31,I31),2)</f>
        <v>135717</v>
      </c>
      <c r="L31" s="56" t="str">
        <f t="shared" si="1"/>
        <v/>
      </c>
      <c r="M31" s="65">
        <f>PRODUCT(VALUE(K31),IF(H31="",0,VALUE(H31)))</f>
        <v>0</v>
      </c>
      <c r="N31" s="65"/>
      <c r="O31" s="65"/>
      <c r="P31" s="56"/>
      <c r="Q31" s="207"/>
      <c r="R31" s="207"/>
    </row>
    <row r="32" spans="1:18" s="185" customFormat="1" ht="33" hidden="1" customHeight="1" outlineLevel="3" thickBot="1">
      <c r="A32" s="288" t="s">
        <v>167</v>
      </c>
      <c r="B32" s="283" t="s">
        <v>350</v>
      </c>
      <c r="C32" s="284"/>
      <c r="D32" s="284"/>
      <c r="E32" s="284"/>
      <c r="F32" s="285" t="s">
        <v>257</v>
      </c>
      <c r="G32" s="285" t="s">
        <v>74</v>
      </c>
      <c r="H32" s="176"/>
      <c r="I32" s="286">
        <v>147857.5</v>
      </c>
      <c r="J32" s="293">
        <v>295715</v>
      </c>
      <c r="K32" s="111">
        <f>ROUND(IF(VALUE(Калькулятор!$E$10)&gt;150,J32,I32),2)</f>
        <v>147857.5</v>
      </c>
      <c r="L32" s="56" t="str">
        <f t="shared" si="1"/>
        <v/>
      </c>
      <c r="M32" s="65">
        <f>PRODUCT(VALUE(K32),IF(H32="",0,VALUE(H32)))</f>
        <v>0</v>
      </c>
      <c r="N32" s="65"/>
      <c r="O32" s="65"/>
      <c r="P32" s="56"/>
      <c r="Q32" s="207"/>
      <c r="R32" s="207"/>
    </row>
    <row r="33" spans="1:18" s="185" customFormat="1" ht="33" hidden="1" customHeight="1" outlineLevel="3" thickBot="1">
      <c r="A33" s="288" t="s">
        <v>168</v>
      </c>
      <c r="B33" s="283" t="s">
        <v>351</v>
      </c>
      <c r="C33" s="284"/>
      <c r="D33" s="284"/>
      <c r="E33" s="284"/>
      <c r="F33" s="285" t="s">
        <v>257</v>
      </c>
      <c r="G33" s="285" t="s">
        <v>75</v>
      </c>
      <c r="H33" s="176"/>
      <c r="I33" s="286">
        <v>155974</v>
      </c>
      <c r="J33" s="293">
        <v>311948</v>
      </c>
      <c r="K33" s="111">
        <f>ROUND(IF(VALUE(Калькулятор!$E$10)&gt;150,J33,I33),2)</f>
        <v>155974</v>
      </c>
      <c r="L33" s="56" t="str">
        <f t="shared" si="1"/>
        <v/>
      </c>
      <c r="M33" s="65">
        <f>PRODUCT(VALUE(K33),IF(H33="",0,VALUE(H33)))</f>
        <v>0</v>
      </c>
      <c r="N33" s="65"/>
      <c r="O33" s="65"/>
      <c r="P33" s="56"/>
      <c r="Q33" s="207"/>
      <c r="R33" s="207"/>
    </row>
    <row r="34" spans="1:18" s="185" customFormat="1" ht="33" hidden="1" customHeight="1" outlineLevel="3" thickBot="1">
      <c r="A34" s="288" t="s">
        <v>169</v>
      </c>
      <c r="B34" s="283" t="s">
        <v>352</v>
      </c>
      <c r="C34" s="284"/>
      <c r="D34" s="284"/>
      <c r="E34" s="284"/>
      <c r="F34" s="285" t="s">
        <v>257</v>
      </c>
      <c r="G34" s="285" t="s">
        <v>76</v>
      </c>
      <c r="H34" s="177"/>
      <c r="I34" s="286">
        <v>152818.5</v>
      </c>
      <c r="J34" s="294">
        <v>305637</v>
      </c>
      <c r="K34" s="111">
        <f>ROUND(IF(VALUE(Калькулятор!$E$10)&gt;150,J34,I34),2)</f>
        <v>152818.5</v>
      </c>
      <c r="L34" s="56" t="str">
        <f t="shared" si="1"/>
        <v/>
      </c>
      <c r="M34" s="65">
        <f>PRODUCT(VALUE(K34),IF(H34="",0,VALUE(H34)))</f>
        <v>0</v>
      </c>
      <c r="N34" s="65"/>
      <c r="O34" s="65"/>
      <c r="P34" s="56"/>
      <c r="Q34" s="184"/>
      <c r="R34" s="184"/>
    </row>
    <row r="35" spans="1:18" s="185" customFormat="1" ht="33" customHeight="1" outlineLevel="2" thickBot="1">
      <c r="A35" s="58" t="s">
        <v>258</v>
      </c>
      <c r="B35" s="605" t="s">
        <v>259</v>
      </c>
      <c r="C35" s="606"/>
      <c r="D35" s="606"/>
      <c r="E35" s="606"/>
      <c r="F35" s="606"/>
      <c r="G35" s="606"/>
      <c r="H35" s="162"/>
      <c r="I35" s="162"/>
      <c r="J35" s="165"/>
      <c r="K35" s="112" t="s">
        <v>241</v>
      </c>
      <c r="L35" s="56" t="str">
        <f t="shared" si="1"/>
        <v/>
      </c>
      <c r="M35" s="65"/>
      <c r="N35" s="65"/>
      <c r="O35" s="65"/>
      <c r="P35" s="56"/>
      <c r="Q35" s="184"/>
      <c r="R35" s="184"/>
    </row>
    <row r="36" spans="1:18" s="185" customFormat="1" ht="33" customHeight="1" outlineLevel="3" thickBot="1">
      <c r="A36" s="381" t="s">
        <v>170</v>
      </c>
      <c r="B36" s="374" t="s">
        <v>440</v>
      </c>
      <c r="C36" s="375"/>
      <c r="D36" s="375"/>
      <c r="E36" s="375"/>
      <c r="F36" s="376" t="s">
        <v>257</v>
      </c>
      <c r="G36" s="376" t="s">
        <v>77</v>
      </c>
      <c r="H36" s="386">
        <v>0.02</v>
      </c>
      <c r="I36" s="378">
        <v>137698</v>
      </c>
      <c r="J36" s="387">
        <v>275396</v>
      </c>
      <c r="K36" s="111">
        <f>ROUND(IF(VALUE(Калькулятор!$E$10)&gt;150,J36,I36),2)</f>
        <v>137698</v>
      </c>
      <c r="L36" s="56" t="str">
        <f t="shared" si="1"/>
        <v>0,02</v>
      </c>
      <c r="M36" s="65">
        <f>PRODUCT(VALUE(K36),IF(H36="",0,VALUE(H36)))</f>
        <v>2753.96</v>
      </c>
      <c r="N36" s="65"/>
      <c r="O36" s="65"/>
      <c r="P36" s="56"/>
      <c r="Q36" s="184"/>
      <c r="R36" s="184"/>
    </row>
    <row r="37" spans="1:18" s="185" customFormat="1" ht="33" hidden="1" customHeight="1" outlineLevel="3" thickBot="1">
      <c r="A37" s="288" t="s">
        <v>171</v>
      </c>
      <c r="B37" s="283" t="s">
        <v>353</v>
      </c>
      <c r="C37" s="284"/>
      <c r="D37" s="284"/>
      <c r="E37" s="284"/>
      <c r="F37" s="285" t="s">
        <v>257</v>
      </c>
      <c r="G37" s="285" t="s">
        <v>78</v>
      </c>
      <c r="H37" s="176"/>
      <c r="I37" s="286">
        <v>144583.5</v>
      </c>
      <c r="J37" s="293">
        <v>289167</v>
      </c>
      <c r="K37" s="111">
        <f>ROUND(IF(VALUE(Калькулятор!$E$10)&gt;150,J37,I37),2)</f>
        <v>144583.5</v>
      </c>
      <c r="L37" s="56" t="str">
        <f t="shared" si="1"/>
        <v/>
      </c>
      <c r="M37" s="65">
        <f>PRODUCT(VALUE(K37),IF(H37="",0,VALUE(H37)))</f>
        <v>0</v>
      </c>
      <c r="N37" s="65"/>
      <c r="O37" s="65"/>
      <c r="P37" s="56"/>
      <c r="Q37" s="184"/>
      <c r="R37" s="184"/>
    </row>
    <row r="38" spans="1:18" s="185" customFormat="1" ht="33" hidden="1" customHeight="1" outlineLevel="3" thickBot="1">
      <c r="A38" s="288" t="s">
        <v>172</v>
      </c>
      <c r="B38" s="283" t="s">
        <v>354</v>
      </c>
      <c r="C38" s="284"/>
      <c r="D38" s="284"/>
      <c r="E38" s="284"/>
      <c r="F38" s="285" t="s">
        <v>257</v>
      </c>
      <c r="G38" s="285" t="s">
        <v>79</v>
      </c>
      <c r="H38" s="176"/>
      <c r="I38" s="286">
        <v>153992</v>
      </c>
      <c r="J38" s="293">
        <v>307984</v>
      </c>
      <c r="K38" s="111">
        <f>ROUND(IF(VALUE(Калькулятор!$E$10)&gt;150,J38,I38),2)</f>
        <v>153992</v>
      </c>
      <c r="L38" s="56" t="str">
        <f t="shared" si="1"/>
        <v/>
      </c>
      <c r="M38" s="65">
        <f>PRODUCT(VALUE(K38),IF(H38="",0,VALUE(H38)))</f>
        <v>0</v>
      </c>
      <c r="N38" s="65"/>
      <c r="O38" s="65"/>
      <c r="P38" s="56"/>
      <c r="Q38" s="184"/>
      <c r="R38" s="184"/>
    </row>
    <row r="39" spans="1:18" s="185" customFormat="1" ht="33" hidden="1" customHeight="1" outlineLevel="3" thickBot="1">
      <c r="A39" s="288" t="s">
        <v>173</v>
      </c>
      <c r="B39" s="283" t="s">
        <v>355</v>
      </c>
      <c r="C39" s="284"/>
      <c r="D39" s="284"/>
      <c r="E39" s="284"/>
      <c r="F39" s="285" t="s">
        <v>257</v>
      </c>
      <c r="G39" s="285" t="s">
        <v>80</v>
      </c>
      <c r="H39" s="177"/>
      <c r="I39" s="286">
        <v>166412</v>
      </c>
      <c r="J39" s="294">
        <v>332824</v>
      </c>
      <c r="K39" s="111">
        <f>ROUND(IF(VALUE(Калькулятор!$E$10)&gt;150,J39,I39),2)</f>
        <v>166412</v>
      </c>
      <c r="L39" s="56" t="str">
        <f t="shared" si="1"/>
        <v/>
      </c>
      <c r="M39" s="65">
        <f>PRODUCT(VALUE(K39),IF(H39="",0,VALUE(H39)))</f>
        <v>0</v>
      </c>
      <c r="N39" s="65"/>
      <c r="O39" s="65"/>
      <c r="P39" s="56"/>
      <c r="Q39" s="184"/>
      <c r="R39" s="184"/>
    </row>
    <row r="40" spans="1:18" s="185" customFormat="1" ht="33" customHeight="1" outlineLevel="2" collapsed="1" thickBot="1">
      <c r="A40" s="58" t="s">
        <v>260</v>
      </c>
      <c r="B40" s="591" t="s">
        <v>261</v>
      </c>
      <c r="C40" s="592"/>
      <c r="D40" s="592"/>
      <c r="E40" s="592"/>
      <c r="F40" s="592"/>
      <c r="G40" s="592"/>
      <c r="H40" s="162"/>
      <c r="I40" s="162"/>
      <c r="J40" s="165"/>
      <c r="K40" s="112" t="s">
        <v>241</v>
      </c>
      <c r="L40" s="56" t="str">
        <f t="shared" si="1"/>
        <v/>
      </c>
      <c r="M40" s="65"/>
      <c r="N40" s="65"/>
      <c r="O40" s="65"/>
      <c r="P40" s="56"/>
      <c r="Q40" s="184"/>
      <c r="R40" s="184"/>
    </row>
    <row r="41" spans="1:18" s="220" customFormat="1" ht="33" hidden="1" customHeight="1" outlineLevel="3" thickBot="1">
      <c r="A41" s="288" t="s">
        <v>174</v>
      </c>
      <c r="B41" s="283" t="s">
        <v>356</v>
      </c>
      <c r="C41" s="284"/>
      <c r="D41" s="284"/>
      <c r="E41" s="284"/>
      <c r="F41" s="285" t="s">
        <v>257</v>
      </c>
      <c r="G41" s="285" t="s">
        <v>77</v>
      </c>
      <c r="H41" s="173"/>
      <c r="I41" s="286">
        <v>84115.5</v>
      </c>
      <c r="J41" s="286">
        <v>168231</v>
      </c>
      <c r="K41" s="111">
        <f>ROUND(IF(VALUE(Калькулятор!$E$10)&gt;150,J41,I41),2)</f>
        <v>84115.5</v>
      </c>
      <c r="L41" s="56" t="str">
        <f t="shared" si="1"/>
        <v/>
      </c>
      <c r="M41" s="65">
        <f>PRODUCT(VALUE(K41),IF(H41="",0,VALUE(H41)))</f>
        <v>0</v>
      </c>
      <c r="N41" s="65"/>
      <c r="O41" s="65"/>
      <c r="P41" s="56"/>
      <c r="Q41" s="184"/>
      <c r="R41" s="184"/>
    </row>
    <row r="42" spans="1:18" s="220" customFormat="1" ht="33" hidden="1" customHeight="1" outlineLevel="3" thickBot="1">
      <c r="A42" s="288" t="s">
        <v>175</v>
      </c>
      <c r="B42" s="283" t="s">
        <v>357</v>
      </c>
      <c r="C42" s="284"/>
      <c r="D42" s="284"/>
      <c r="E42" s="284"/>
      <c r="F42" s="285" t="s">
        <v>257</v>
      </c>
      <c r="G42" s="285" t="s">
        <v>79</v>
      </c>
      <c r="H42" s="174"/>
      <c r="I42" s="286">
        <v>104372.5</v>
      </c>
      <c r="J42" s="287">
        <v>208745</v>
      </c>
      <c r="K42" s="111">
        <f>ROUND(IF(VALUE(Калькулятор!$E$10)&gt;150,J42,I42),2)</f>
        <v>104372.5</v>
      </c>
      <c r="L42" s="56" t="str">
        <f t="shared" si="1"/>
        <v/>
      </c>
      <c r="M42" s="65">
        <f>PRODUCT(VALUE(K42),IF(H42="",0,VALUE(H42)))</f>
        <v>0</v>
      </c>
      <c r="N42" s="65"/>
      <c r="O42" s="65"/>
      <c r="P42" s="56"/>
      <c r="Q42" s="184"/>
      <c r="R42" s="184"/>
    </row>
    <row r="43" spans="1:18" s="220" customFormat="1" ht="33" hidden="1" customHeight="1" outlineLevel="3" thickBot="1">
      <c r="A43" s="288" t="s">
        <v>176</v>
      </c>
      <c r="B43" s="283" t="s">
        <v>358</v>
      </c>
      <c r="C43" s="284"/>
      <c r="D43" s="284"/>
      <c r="E43" s="284"/>
      <c r="F43" s="285" t="s">
        <v>257</v>
      </c>
      <c r="G43" s="285" t="s">
        <v>80</v>
      </c>
      <c r="H43" s="174"/>
      <c r="I43" s="286">
        <v>116792.5</v>
      </c>
      <c r="J43" s="287">
        <v>233585</v>
      </c>
      <c r="K43" s="111">
        <f>ROUND(IF(VALUE(Калькулятор!$E$10)&gt;150,J43,I43),2)</f>
        <v>116792.5</v>
      </c>
      <c r="L43" s="56" t="str">
        <f t="shared" si="1"/>
        <v/>
      </c>
      <c r="M43" s="65">
        <f>PRODUCT(VALUE(K43),IF(H43="",0,VALUE(H43)))</f>
        <v>0</v>
      </c>
      <c r="N43" s="65"/>
      <c r="O43" s="65"/>
      <c r="P43" s="56"/>
      <c r="Q43" s="184"/>
      <c r="R43" s="184"/>
    </row>
    <row r="44" spans="1:18" s="185" customFormat="1" ht="66" hidden="1" customHeight="1" thickBot="1">
      <c r="A44" s="222"/>
      <c r="B44" s="223"/>
      <c r="C44" s="224"/>
      <c r="D44" s="224"/>
      <c r="E44" s="224"/>
      <c r="F44" s="267"/>
      <c r="G44" s="267"/>
      <c r="H44" s="225"/>
      <c r="I44" s="73"/>
      <c r="J44" s="73"/>
      <c r="K44" s="112"/>
      <c r="L44" s="56" t="str">
        <f t="shared" si="1"/>
        <v/>
      </c>
      <c r="M44" s="65"/>
      <c r="N44" s="65"/>
      <c r="O44" s="65"/>
      <c r="P44" s="56"/>
      <c r="Q44" s="184"/>
      <c r="R44" s="184"/>
    </row>
    <row r="45" spans="1:18" s="185" customFormat="1" ht="30" customHeight="1" thickBot="1">
      <c r="A45" s="250" t="s">
        <v>262</v>
      </c>
      <c r="B45" s="214" t="s">
        <v>81</v>
      </c>
      <c r="C45" s="205"/>
      <c r="D45" s="205"/>
      <c r="E45" s="205"/>
      <c r="F45" s="242" t="s">
        <v>241</v>
      </c>
      <c r="G45" s="242" t="s">
        <v>241</v>
      </c>
      <c r="H45" s="244" t="s">
        <v>333</v>
      </c>
      <c r="I45" s="400" t="s">
        <v>241</v>
      </c>
      <c r="J45" s="401"/>
      <c r="K45" s="112" t="s">
        <v>241</v>
      </c>
      <c r="L45" s="67" t="str">
        <f>IF(VALUE(T4)&gt;0,"да","нет")</f>
        <v>нет</v>
      </c>
      <c r="M45" s="65"/>
      <c r="N45" s="65"/>
      <c r="O45" s="65"/>
      <c r="P45" s="56"/>
      <c r="Q45" s="207"/>
      <c r="R45" s="207"/>
    </row>
    <row r="46" spans="1:18" s="185" customFormat="1" ht="33" customHeight="1" outlineLevel="1" collapsed="1" thickBot="1">
      <c r="A46" s="251" t="s">
        <v>263</v>
      </c>
      <c r="B46" s="611" t="s">
        <v>82</v>
      </c>
      <c r="C46" s="612"/>
      <c r="D46" s="612"/>
      <c r="E46" s="612"/>
      <c r="F46" s="612"/>
      <c r="G46" s="612"/>
      <c r="H46" s="208"/>
      <c r="I46" s="404">
        <v>135093</v>
      </c>
      <c r="J46" s="405">
        <v>270186</v>
      </c>
      <c r="K46" s="112" t="s">
        <v>241</v>
      </c>
      <c r="L46" s="56" t="str">
        <f t="shared" ref="L46:L70" si="2">CONCATENATE(H46)</f>
        <v/>
      </c>
      <c r="M46" s="65"/>
      <c r="N46" s="65"/>
      <c r="O46" s="65"/>
      <c r="P46" s="56"/>
      <c r="Q46" s="207"/>
      <c r="R46" s="207"/>
    </row>
    <row r="47" spans="1:18" s="185" customFormat="1" ht="33" hidden="1" customHeight="1" outlineLevel="2" collapsed="1" thickBot="1">
      <c r="A47" s="265" t="s">
        <v>264</v>
      </c>
      <c r="B47" s="272" t="s">
        <v>148</v>
      </c>
      <c r="C47" s="226"/>
      <c r="D47" s="226"/>
      <c r="E47" s="226"/>
      <c r="F47" s="266"/>
      <c r="G47" s="266"/>
      <c r="H47" s="227"/>
      <c r="I47" s="406" t="s">
        <v>241</v>
      </c>
      <c r="J47" s="407"/>
      <c r="K47" s="228" t="s">
        <v>241</v>
      </c>
      <c r="L47" s="56" t="str">
        <f t="shared" si="2"/>
        <v/>
      </c>
      <c r="M47" s="65"/>
      <c r="N47" s="65"/>
      <c r="O47" s="65"/>
      <c r="P47" s="56"/>
      <c r="Q47" s="207"/>
      <c r="R47" s="207"/>
    </row>
    <row r="48" spans="1:18" s="185" customFormat="1" ht="33" hidden="1" customHeight="1" outlineLevel="3" thickBot="1">
      <c r="A48" s="295" t="s">
        <v>177</v>
      </c>
      <c r="B48" s="296" t="s">
        <v>359</v>
      </c>
      <c r="C48" s="297"/>
      <c r="D48" s="297"/>
      <c r="E48" s="297"/>
      <c r="F48" s="298" t="s">
        <v>265</v>
      </c>
      <c r="G48" s="299" t="s">
        <v>267</v>
      </c>
      <c r="H48" s="396"/>
      <c r="I48" s="402">
        <v>155021.5</v>
      </c>
      <c r="J48" s="403">
        <v>310043</v>
      </c>
      <c r="K48" s="111">
        <f>ROUND(IF(VALUE(Калькулятор!$E$10)&gt;150,J48,I48),2)</f>
        <v>155021.5</v>
      </c>
      <c r="L48" s="56" t="str">
        <f t="shared" si="2"/>
        <v/>
      </c>
      <c r="M48" s="65">
        <f>PRODUCT(VALUE(K48),IF(H48="",0,VALUE(H48)))</f>
        <v>0</v>
      </c>
      <c r="N48" s="65"/>
      <c r="O48" s="65"/>
      <c r="P48" s="56"/>
      <c r="Q48" s="184"/>
      <c r="R48" s="184"/>
    </row>
    <row r="49" spans="1:18" s="185" customFormat="1" ht="33" hidden="1" customHeight="1" outlineLevel="3" thickBot="1">
      <c r="A49" s="295" t="s">
        <v>178</v>
      </c>
      <c r="B49" s="296" t="s">
        <v>360</v>
      </c>
      <c r="C49" s="302"/>
      <c r="D49" s="302"/>
      <c r="E49" s="302"/>
      <c r="F49" s="303" t="s">
        <v>265</v>
      </c>
      <c r="G49" s="304" t="s">
        <v>268</v>
      </c>
      <c r="H49" s="397"/>
      <c r="I49" s="402">
        <v>168816</v>
      </c>
      <c r="J49" s="403">
        <v>337632</v>
      </c>
      <c r="K49" s="111">
        <f>ROUND(IF(VALUE(Калькулятор!$E$10)&gt;150,J49,I49),2)</f>
        <v>168816</v>
      </c>
      <c r="L49" s="56" t="str">
        <f t="shared" si="2"/>
        <v/>
      </c>
      <c r="M49" s="65">
        <f>PRODUCT(VALUE(K49),IF(H49="",0,VALUE(H49)))</f>
        <v>0</v>
      </c>
      <c r="N49" s="65"/>
      <c r="O49" s="65"/>
      <c r="P49" s="56"/>
      <c r="Q49" s="184"/>
      <c r="R49" s="184"/>
    </row>
    <row r="50" spans="1:18" s="185" customFormat="1" ht="33" hidden="1" customHeight="1" outlineLevel="3" thickBot="1">
      <c r="A50" s="295" t="s">
        <v>179</v>
      </c>
      <c r="B50" s="296" t="s">
        <v>361</v>
      </c>
      <c r="C50" s="302"/>
      <c r="D50" s="302"/>
      <c r="E50" s="302"/>
      <c r="F50" s="303" t="s">
        <v>265</v>
      </c>
      <c r="G50" s="304" t="s">
        <v>269</v>
      </c>
      <c r="H50" s="397"/>
      <c r="I50" s="402">
        <v>182536.5</v>
      </c>
      <c r="J50" s="403">
        <v>365073</v>
      </c>
      <c r="K50" s="111">
        <f>ROUND(IF(VALUE(Калькулятор!$E$10)&gt;150,J50,I50),2)</f>
        <v>182536.5</v>
      </c>
      <c r="L50" s="56" t="str">
        <f t="shared" si="2"/>
        <v/>
      </c>
      <c r="M50" s="65">
        <f>PRODUCT(VALUE(K50),IF(H50="",0,VALUE(H50)))</f>
        <v>0</v>
      </c>
      <c r="N50" s="65"/>
      <c r="O50" s="65"/>
      <c r="P50" s="56"/>
      <c r="Q50" s="184"/>
      <c r="R50" s="184"/>
    </row>
    <row r="51" spans="1:18" s="185" customFormat="1" ht="33" hidden="1" customHeight="1" outlineLevel="3" thickBot="1">
      <c r="A51" s="295" t="s">
        <v>180</v>
      </c>
      <c r="B51" s="296" t="s">
        <v>362</v>
      </c>
      <c r="C51" s="306"/>
      <c r="D51" s="306"/>
      <c r="E51" s="306"/>
      <c r="F51" s="307" t="s">
        <v>265</v>
      </c>
      <c r="G51" s="308" t="s">
        <v>270</v>
      </c>
      <c r="H51" s="398"/>
      <c r="I51" s="402">
        <v>246817</v>
      </c>
      <c r="J51" s="403">
        <v>493634</v>
      </c>
      <c r="K51" s="111">
        <f>ROUND(IF(VALUE(Калькулятор!$E$10)&gt;150,J51,I51),2)</f>
        <v>246817</v>
      </c>
      <c r="L51" s="56" t="str">
        <f t="shared" si="2"/>
        <v/>
      </c>
      <c r="M51" s="65">
        <f>PRODUCT(VALUE(K51),IF(H51="",0,VALUE(H51)))</f>
        <v>0</v>
      </c>
      <c r="N51" s="65"/>
      <c r="O51" s="65"/>
      <c r="P51" s="56"/>
      <c r="Q51" s="184"/>
      <c r="R51" s="184"/>
    </row>
    <row r="52" spans="1:18" s="185" customFormat="1" ht="33" hidden="1" customHeight="1" outlineLevel="2" collapsed="1" thickBot="1">
      <c r="A52" s="265" t="s">
        <v>266</v>
      </c>
      <c r="B52" s="272" t="s">
        <v>150</v>
      </c>
      <c r="C52" s="226"/>
      <c r="D52" s="226"/>
      <c r="E52" s="226"/>
      <c r="F52" s="266"/>
      <c r="G52" s="266"/>
      <c r="H52" s="227"/>
      <c r="I52" s="408"/>
      <c r="J52" s="407"/>
      <c r="K52" s="228" t="s">
        <v>241</v>
      </c>
      <c r="L52" s="56" t="str">
        <f t="shared" si="2"/>
        <v/>
      </c>
      <c r="M52" s="65"/>
      <c r="N52" s="65"/>
      <c r="O52" s="65"/>
      <c r="P52" s="56"/>
      <c r="Q52" s="184"/>
      <c r="R52" s="184"/>
    </row>
    <row r="53" spans="1:18" s="185" customFormat="1" ht="33" hidden="1" customHeight="1" outlineLevel="3" thickBot="1">
      <c r="A53" s="295" t="s">
        <v>181</v>
      </c>
      <c r="B53" s="296" t="s">
        <v>363</v>
      </c>
      <c r="C53" s="297"/>
      <c r="D53" s="297"/>
      <c r="E53" s="297"/>
      <c r="F53" s="298" t="s">
        <v>265</v>
      </c>
      <c r="G53" s="299" t="s">
        <v>272</v>
      </c>
      <c r="H53" s="396"/>
      <c r="I53" s="402">
        <v>241700</v>
      </c>
      <c r="J53" s="403">
        <v>483400</v>
      </c>
      <c r="K53" s="111">
        <f>ROUND(IF(VALUE(Калькулятор!$E$10)&gt;150,J53,I53),2)</f>
        <v>241700</v>
      </c>
      <c r="L53" s="56" t="str">
        <f t="shared" si="2"/>
        <v/>
      </c>
      <c r="M53" s="65">
        <f>PRODUCT(VALUE(K53),IF(H53="",0,VALUE(H53)))</f>
        <v>0</v>
      </c>
      <c r="N53" s="65"/>
      <c r="O53" s="65"/>
      <c r="P53" s="56"/>
      <c r="Q53" s="184"/>
      <c r="R53" s="184"/>
    </row>
    <row r="54" spans="1:18" s="185" customFormat="1" ht="33" hidden="1" customHeight="1" outlineLevel="3" thickBot="1">
      <c r="A54" s="295" t="s">
        <v>182</v>
      </c>
      <c r="B54" s="296" t="s">
        <v>364</v>
      </c>
      <c r="C54" s="302"/>
      <c r="D54" s="302"/>
      <c r="E54" s="302"/>
      <c r="F54" s="303" t="s">
        <v>265</v>
      </c>
      <c r="G54" s="304" t="s">
        <v>272</v>
      </c>
      <c r="H54" s="397"/>
      <c r="I54" s="402">
        <v>352837</v>
      </c>
      <c r="J54" s="403">
        <v>705674</v>
      </c>
      <c r="K54" s="111">
        <f>ROUND(IF(VALUE(Калькулятор!$E$10)&gt;150,J54,I54),2)</f>
        <v>352837</v>
      </c>
      <c r="L54" s="56" t="str">
        <f t="shared" si="2"/>
        <v/>
      </c>
      <c r="M54" s="65">
        <f>PRODUCT(VALUE(K54),IF(H54="",0,VALUE(H54)))</f>
        <v>0</v>
      </c>
      <c r="N54" s="65"/>
      <c r="O54" s="65"/>
      <c r="P54" s="56"/>
      <c r="Q54" s="184"/>
      <c r="R54" s="184"/>
    </row>
    <row r="55" spans="1:18" s="185" customFormat="1" ht="33" hidden="1" customHeight="1" outlineLevel="3" thickBot="1">
      <c r="A55" s="295" t="s">
        <v>183</v>
      </c>
      <c r="B55" s="296" t="s">
        <v>365</v>
      </c>
      <c r="C55" s="302"/>
      <c r="D55" s="302"/>
      <c r="E55" s="302"/>
      <c r="F55" s="303" t="s">
        <v>265</v>
      </c>
      <c r="G55" s="304" t="s">
        <v>273</v>
      </c>
      <c r="H55" s="397"/>
      <c r="I55" s="402">
        <v>417057.5</v>
      </c>
      <c r="J55" s="403">
        <v>834115</v>
      </c>
      <c r="K55" s="111">
        <f>ROUND(IF(VALUE(Калькулятор!$E$10)&gt;150,J55,I55),2)</f>
        <v>417057.5</v>
      </c>
      <c r="L55" s="56" t="str">
        <f t="shared" si="2"/>
        <v/>
      </c>
      <c r="M55" s="65">
        <f>PRODUCT(VALUE(K55),IF(H55="",0,VALUE(H55)))</f>
        <v>0</v>
      </c>
      <c r="N55" s="65"/>
      <c r="O55" s="65"/>
      <c r="P55" s="56"/>
      <c r="Q55" s="184"/>
      <c r="R55" s="184"/>
    </row>
    <row r="56" spans="1:18" s="185" customFormat="1" ht="33" hidden="1" customHeight="1" outlineLevel="3" thickBot="1">
      <c r="A56" s="295" t="s">
        <v>184</v>
      </c>
      <c r="B56" s="296" t="s">
        <v>366</v>
      </c>
      <c r="C56" s="306"/>
      <c r="D56" s="306"/>
      <c r="E56" s="306"/>
      <c r="F56" s="307" t="s">
        <v>265</v>
      </c>
      <c r="G56" s="308" t="s">
        <v>274</v>
      </c>
      <c r="H56" s="398"/>
      <c r="I56" s="402">
        <v>689208.5</v>
      </c>
      <c r="J56" s="403">
        <v>1378417</v>
      </c>
      <c r="K56" s="111">
        <f>ROUND(IF(VALUE(Калькулятор!$E$10)&gt;150,J56,I56),2)</f>
        <v>689208.5</v>
      </c>
      <c r="L56" s="56" t="str">
        <f t="shared" si="2"/>
        <v/>
      </c>
      <c r="M56" s="65">
        <f>PRODUCT(VALUE(K56),IF(H56="",0,VALUE(H56)))</f>
        <v>0</v>
      </c>
      <c r="N56" s="65"/>
      <c r="O56" s="65"/>
      <c r="P56" s="56"/>
      <c r="Q56" s="184"/>
      <c r="R56" s="184"/>
    </row>
    <row r="57" spans="1:18" s="185" customFormat="1" ht="33" hidden="1" customHeight="1" outlineLevel="2" collapsed="1" thickBot="1">
      <c r="A57" s="251" t="s">
        <v>271</v>
      </c>
      <c r="B57" s="272" t="s">
        <v>83</v>
      </c>
      <c r="C57" s="226"/>
      <c r="D57" s="226"/>
      <c r="E57" s="226"/>
      <c r="F57" s="266"/>
      <c r="G57" s="266"/>
      <c r="H57" s="227"/>
      <c r="I57" s="408"/>
      <c r="J57" s="407"/>
      <c r="K57" s="228" t="s">
        <v>241</v>
      </c>
      <c r="L57" s="56" t="str">
        <f t="shared" si="2"/>
        <v/>
      </c>
      <c r="M57" s="65"/>
      <c r="N57" s="65"/>
      <c r="O57" s="65"/>
      <c r="P57" s="56"/>
      <c r="Q57" s="184"/>
      <c r="R57" s="184"/>
    </row>
    <row r="58" spans="1:18" s="185" customFormat="1" ht="33" hidden="1" customHeight="1" outlineLevel="3" thickBot="1">
      <c r="A58" s="295" t="s">
        <v>185</v>
      </c>
      <c r="B58" s="296" t="s">
        <v>275</v>
      </c>
      <c r="C58" s="297"/>
      <c r="D58" s="297"/>
      <c r="E58" s="297"/>
      <c r="F58" s="298" t="s">
        <v>276</v>
      </c>
      <c r="G58" s="299" t="s">
        <v>277</v>
      </c>
      <c r="H58" s="399"/>
      <c r="I58" s="402">
        <v>333277.5</v>
      </c>
      <c r="J58" s="403">
        <v>666555</v>
      </c>
      <c r="K58" s="111">
        <f>ROUND(IF(VALUE(Калькулятор!$E$10)&gt;150,J58,I58),2)</f>
        <v>333277.5</v>
      </c>
      <c r="L58" s="56" t="str">
        <f t="shared" si="2"/>
        <v/>
      </c>
      <c r="M58" s="65">
        <f>PRODUCT(VALUE(K58),IF(H58="",0,VALUE(H58)))</f>
        <v>0</v>
      </c>
      <c r="N58" s="65"/>
      <c r="O58" s="65"/>
      <c r="P58" s="56"/>
      <c r="Q58" s="229" t="str">
        <f>IF(VALUE(H58)&gt;0,IF(OR(VALUE($T$4)&gt;0,VALUE($T$6)&gt;0)," ","Выберите кабельную линию!")," ")</f>
        <v xml:space="preserve"> </v>
      </c>
      <c r="R58" s="184"/>
    </row>
    <row r="59" spans="1:18" s="185" customFormat="1" ht="33" customHeight="1" outlineLevel="1" collapsed="1" thickBot="1">
      <c r="A59" s="251" t="s">
        <v>278</v>
      </c>
      <c r="B59" s="611" t="s">
        <v>84</v>
      </c>
      <c r="C59" s="612"/>
      <c r="D59" s="612"/>
      <c r="E59" s="612"/>
      <c r="F59" s="612"/>
      <c r="G59" s="612"/>
      <c r="H59" s="209"/>
      <c r="I59" s="404">
        <v>61160.5</v>
      </c>
      <c r="J59" s="407">
        <v>122321</v>
      </c>
      <c r="K59" s="112" t="s">
        <v>241</v>
      </c>
      <c r="L59" s="56" t="str">
        <f t="shared" si="2"/>
        <v/>
      </c>
      <c r="M59" s="65"/>
      <c r="N59" s="65"/>
      <c r="O59" s="65"/>
      <c r="P59" s="56"/>
      <c r="Q59" s="184"/>
      <c r="R59" s="184"/>
    </row>
    <row r="60" spans="1:18" s="185" customFormat="1" ht="33" hidden="1" customHeight="1" outlineLevel="2" collapsed="1" thickBot="1">
      <c r="A60" s="251" t="s">
        <v>279</v>
      </c>
      <c r="B60" s="272" t="s">
        <v>151</v>
      </c>
      <c r="C60" s="226"/>
      <c r="D60" s="226"/>
      <c r="E60" s="226"/>
      <c r="F60" s="266"/>
      <c r="G60" s="266"/>
      <c r="H60" s="227"/>
      <c r="I60" s="206"/>
      <c r="J60" s="395"/>
      <c r="K60" s="228" t="s">
        <v>241</v>
      </c>
      <c r="L60" s="56" t="str">
        <f t="shared" si="2"/>
        <v/>
      </c>
      <c r="M60" s="65"/>
      <c r="N60" s="65"/>
      <c r="O60" s="65"/>
      <c r="P60" s="56"/>
      <c r="Q60" s="184"/>
      <c r="R60" s="184"/>
    </row>
    <row r="61" spans="1:18" s="185" customFormat="1" ht="33" hidden="1" customHeight="1" outlineLevel="3" thickBot="1">
      <c r="A61" s="295" t="s">
        <v>186</v>
      </c>
      <c r="B61" s="310" t="s">
        <v>367</v>
      </c>
      <c r="C61" s="311"/>
      <c r="D61" s="311"/>
      <c r="E61" s="311"/>
      <c r="F61" s="298" t="s">
        <v>280</v>
      </c>
      <c r="G61" s="298" t="s">
        <v>281</v>
      </c>
      <c r="H61" s="173"/>
      <c r="I61" s="300">
        <v>332114.5</v>
      </c>
      <c r="J61" s="301">
        <v>664229</v>
      </c>
      <c r="K61" s="111">
        <f>ROUND(IF(VALUE(Калькулятор!$E$10)&gt;150,J61,I61),2)</f>
        <v>332114.5</v>
      </c>
      <c r="L61" s="56" t="str">
        <f t="shared" si="2"/>
        <v/>
      </c>
      <c r="M61" s="65">
        <f>PRODUCT(VALUE(K61),IF(H61="",0,VALUE(H61)))</f>
        <v>0</v>
      </c>
      <c r="N61" s="65"/>
      <c r="O61" s="65"/>
      <c r="P61" s="56"/>
      <c r="Q61" s="184"/>
      <c r="R61" s="184"/>
    </row>
    <row r="62" spans="1:18" s="185" customFormat="1" ht="33" hidden="1" customHeight="1" outlineLevel="3" thickBot="1">
      <c r="A62" s="295" t="s">
        <v>187</v>
      </c>
      <c r="B62" s="310" t="s">
        <v>368</v>
      </c>
      <c r="C62" s="312"/>
      <c r="D62" s="312"/>
      <c r="E62" s="312"/>
      <c r="F62" s="303" t="s">
        <v>280</v>
      </c>
      <c r="G62" s="303" t="s">
        <v>282</v>
      </c>
      <c r="H62" s="174"/>
      <c r="I62" s="300">
        <v>371686</v>
      </c>
      <c r="J62" s="305">
        <v>743372</v>
      </c>
      <c r="K62" s="111">
        <f>ROUND(IF(VALUE(Калькулятор!$E$10)&gt;150,J62,I62),2)</f>
        <v>371686</v>
      </c>
      <c r="L62" s="56" t="str">
        <f t="shared" si="2"/>
        <v/>
      </c>
      <c r="M62" s="65">
        <f>PRODUCT(VALUE(K62),IF(H62="",0,VALUE(H62)))</f>
        <v>0</v>
      </c>
      <c r="N62" s="65"/>
      <c r="O62" s="65"/>
      <c r="P62" s="56"/>
      <c r="Q62" s="184"/>
      <c r="R62" s="184"/>
    </row>
    <row r="63" spans="1:18" s="185" customFormat="1" ht="33" hidden="1" customHeight="1" outlineLevel="3" thickBot="1">
      <c r="A63" s="295" t="s">
        <v>188</v>
      </c>
      <c r="B63" s="310" t="s">
        <v>415</v>
      </c>
      <c r="C63" s="312"/>
      <c r="D63" s="312"/>
      <c r="E63" s="312"/>
      <c r="F63" s="303" t="s">
        <v>280</v>
      </c>
      <c r="G63" s="303" t="s">
        <v>283</v>
      </c>
      <c r="H63" s="174"/>
      <c r="I63" s="300">
        <v>421095.5</v>
      </c>
      <c r="J63" s="305">
        <v>842191</v>
      </c>
      <c r="K63" s="111">
        <f>ROUND(IF(VALUE(Калькулятор!$E$10)&gt;150,J63,I63),2)</f>
        <v>421095.5</v>
      </c>
      <c r="L63" s="56" t="str">
        <f t="shared" si="2"/>
        <v/>
      </c>
      <c r="M63" s="65">
        <f>PRODUCT(VALUE(K63),IF(H63="",0,VALUE(H63)))</f>
        <v>0</v>
      </c>
      <c r="N63" s="65"/>
      <c r="O63" s="65"/>
      <c r="P63" s="56"/>
      <c r="Q63" s="184"/>
      <c r="R63" s="230"/>
    </row>
    <row r="64" spans="1:18" s="185" customFormat="1" ht="33" hidden="1" customHeight="1" outlineLevel="3" thickBot="1">
      <c r="A64" s="295" t="s">
        <v>189</v>
      </c>
      <c r="B64" s="310" t="s">
        <v>369</v>
      </c>
      <c r="C64" s="312"/>
      <c r="D64" s="312"/>
      <c r="E64" s="312"/>
      <c r="F64" s="303" t="s">
        <v>280</v>
      </c>
      <c r="G64" s="303" t="s">
        <v>284</v>
      </c>
      <c r="H64" s="174"/>
      <c r="I64" s="300">
        <v>451441.5</v>
      </c>
      <c r="J64" s="305">
        <v>902883</v>
      </c>
      <c r="K64" s="111">
        <f>ROUND(IF(VALUE(Калькулятор!$E$10)&gt;150,J64,I64),2)</f>
        <v>451441.5</v>
      </c>
      <c r="L64" s="56" t="str">
        <f t="shared" si="2"/>
        <v/>
      </c>
      <c r="M64" s="65">
        <f>PRODUCT(VALUE(K64),IF(H64="",0,VALUE(H64)))</f>
        <v>0</v>
      </c>
      <c r="N64" s="65"/>
      <c r="O64" s="65"/>
      <c r="P64" s="56"/>
      <c r="Q64" s="184"/>
      <c r="R64" s="184"/>
    </row>
    <row r="65" spans="1:18" s="185" customFormat="1" ht="33" hidden="1" customHeight="1" outlineLevel="3" thickBot="1">
      <c r="A65" s="295" t="s">
        <v>190</v>
      </c>
      <c r="B65" s="310" t="s">
        <v>370</v>
      </c>
      <c r="C65" s="313"/>
      <c r="D65" s="313"/>
      <c r="E65" s="313"/>
      <c r="F65" s="307" t="s">
        <v>280</v>
      </c>
      <c r="G65" s="307" t="s">
        <v>285</v>
      </c>
      <c r="H65" s="175"/>
      <c r="I65" s="300">
        <v>485229.5</v>
      </c>
      <c r="J65" s="309">
        <v>970459</v>
      </c>
      <c r="K65" s="111">
        <f>ROUND(IF(VALUE(Калькулятор!$E$10)&gt;150,J65,I65),2)</f>
        <v>485229.5</v>
      </c>
      <c r="L65" s="56" t="str">
        <f t="shared" si="2"/>
        <v/>
      </c>
      <c r="M65" s="65">
        <f>PRODUCT(VALUE(K65),IF(H65="",0,VALUE(H65)))</f>
        <v>0</v>
      </c>
      <c r="N65" s="65"/>
      <c r="O65" s="65"/>
      <c r="P65" s="56"/>
      <c r="Q65" s="184"/>
      <c r="R65" s="184"/>
    </row>
    <row r="66" spans="1:18" s="185" customFormat="1" ht="33" hidden="1" customHeight="1" outlineLevel="2" collapsed="1" thickBot="1">
      <c r="A66" s="251" t="s">
        <v>286</v>
      </c>
      <c r="B66" s="272" t="s">
        <v>149</v>
      </c>
      <c r="C66" s="226"/>
      <c r="D66" s="226"/>
      <c r="E66" s="226"/>
      <c r="F66" s="266"/>
      <c r="G66" s="266"/>
      <c r="H66" s="227"/>
      <c r="I66" s="209"/>
      <c r="J66" s="210"/>
      <c r="K66" s="228" t="s">
        <v>241</v>
      </c>
      <c r="L66" s="56" t="str">
        <f t="shared" si="2"/>
        <v/>
      </c>
      <c r="M66" s="65"/>
      <c r="N66" s="65"/>
      <c r="O66" s="65"/>
      <c r="P66" s="56"/>
      <c r="Q66" s="184"/>
      <c r="R66" s="184"/>
    </row>
    <row r="67" spans="1:18" s="185" customFormat="1" ht="33" hidden="1" customHeight="1" outlineLevel="3" thickBot="1">
      <c r="A67" s="295" t="s">
        <v>191</v>
      </c>
      <c r="B67" s="310" t="s">
        <v>371</v>
      </c>
      <c r="C67" s="311"/>
      <c r="D67" s="311"/>
      <c r="E67" s="311"/>
      <c r="F67" s="298" t="s">
        <v>287</v>
      </c>
      <c r="G67" s="299" t="s">
        <v>288</v>
      </c>
      <c r="H67" s="179"/>
      <c r="I67" s="300">
        <v>351421.5</v>
      </c>
      <c r="J67" s="301">
        <v>702843</v>
      </c>
      <c r="K67" s="111">
        <f>ROUND(IF(VALUE(Калькулятор!$E$10)&gt;150,J67,I67),2)</f>
        <v>351421.5</v>
      </c>
      <c r="L67" s="56" t="str">
        <f t="shared" si="2"/>
        <v/>
      </c>
      <c r="M67" s="65">
        <f>PRODUCT(VALUE(K67),IF(H67="",0,VALUE(H67)))</f>
        <v>0</v>
      </c>
      <c r="N67" s="65"/>
      <c r="O67" s="65"/>
      <c r="P67" s="56"/>
      <c r="Q67" s="184"/>
      <c r="R67" s="184"/>
    </row>
    <row r="68" spans="1:18" s="185" customFormat="1" ht="33" hidden="1" customHeight="1" outlineLevel="3" thickBot="1">
      <c r="A68" s="295" t="s">
        <v>192</v>
      </c>
      <c r="B68" s="310" t="s">
        <v>372</v>
      </c>
      <c r="C68" s="313"/>
      <c r="D68" s="313"/>
      <c r="E68" s="313"/>
      <c r="F68" s="307" t="s">
        <v>287</v>
      </c>
      <c r="G68" s="308" t="s">
        <v>289</v>
      </c>
      <c r="H68" s="180"/>
      <c r="I68" s="300">
        <v>641360</v>
      </c>
      <c r="J68" s="309">
        <v>1282720</v>
      </c>
      <c r="K68" s="111">
        <f>ROUND(IF(VALUE(Калькулятор!$E$10)&gt;150,J68,I68),2)</f>
        <v>641360</v>
      </c>
      <c r="L68" s="56" t="str">
        <f t="shared" si="2"/>
        <v/>
      </c>
      <c r="M68" s="65">
        <f>PRODUCT(VALUE(K68),IF(H68="",0,VALUE(H68)))</f>
        <v>0</v>
      </c>
      <c r="N68" s="65"/>
      <c r="O68" s="65"/>
      <c r="P68" s="56"/>
      <c r="Q68" s="184"/>
      <c r="R68" s="184"/>
    </row>
    <row r="69" spans="1:18" s="185" customFormat="1" ht="33" hidden="1" customHeight="1" outlineLevel="2" collapsed="1" thickBot="1">
      <c r="A69" s="251" t="s">
        <v>290</v>
      </c>
      <c r="B69" s="272" t="s">
        <v>152</v>
      </c>
      <c r="C69" s="226"/>
      <c r="D69" s="226"/>
      <c r="E69" s="226"/>
      <c r="F69" s="266"/>
      <c r="G69" s="266"/>
      <c r="H69" s="227"/>
      <c r="I69" s="227"/>
      <c r="J69" s="210"/>
      <c r="K69" s="228" t="s">
        <v>241</v>
      </c>
      <c r="L69" s="56" t="str">
        <f t="shared" si="2"/>
        <v/>
      </c>
      <c r="M69" s="65"/>
      <c r="N69" s="65"/>
      <c r="O69" s="65"/>
      <c r="P69" s="56"/>
      <c r="Q69" s="184"/>
      <c r="R69" s="184"/>
    </row>
    <row r="70" spans="1:18" s="185" customFormat="1" ht="33" hidden="1" customHeight="1" outlineLevel="3" thickBot="1">
      <c r="A70" s="295" t="s">
        <v>85</v>
      </c>
      <c r="B70" s="296" t="s">
        <v>291</v>
      </c>
      <c r="C70" s="297"/>
      <c r="D70" s="297"/>
      <c r="E70" s="297"/>
      <c r="F70" s="298" t="s">
        <v>276</v>
      </c>
      <c r="G70" s="299" t="s">
        <v>277</v>
      </c>
      <c r="H70" s="179"/>
      <c r="I70" s="300">
        <v>1261725</v>
      </c>
      <c r="J70" s="301">
        <v>2523450</v>
      </c>
      <c r="K70" s="111">
        <f>ROUND(IF(VALUE(Калькулятор!$E$10)&gt;150,J70,I70),2)</f>
        <v>1261725</v>
      </c>
      <c r="L70" s="56" t="str">
        <f t="shared" si="2"/>
        <v/>
      </c>
      <c r="M70" s="65">
        <f>PRODUCT(VALUE(K70),IF(H70="",0,VALUE(H70)))</f>
        <v>0</v>
      </c>
      <c r="N70" s="65"/>
      <c r="O70" s="65"/>
      <c r="P70" s="56"/>
      <c r="Q70" s="229" t="str">
        <f>IF(VALUE(H70)&gt;0,IF(OR(VALUE($T$4)&gt;0,VALUE($T$6)&gt;0)," ","Выберите кабельную линию!")," ")</f>
        <v xml:space="preserve"> </v>
      </c>
      <c r="R70" s="184"/>
    </row>
    <row r="71" spans="1:18" s="185" customFormat="1" ht="49.9" hidden="1" customHeight="1" thickBot="1">
      <c r="A71" s="222"/>
      <c r="B71" s="231"/>
      <c r="C71" s="232"/>
      <c r="D71" s="232"/>
      <c r="E71" s="232"/>
      <c r="F71" s="268"/>
      <c r="G71" s="269"/>
      <c r="H71" s="233"/>
      <c r="I71" s="73"/>
      <c r="J71" s="73"/>
      <c r="K71" s="112"/>
      <c r="L71" s="56" t="s">
        <v>241</v>
      </c>
      <c r="M71" s="65"/>
      <c r="N71" s="65"/>
      <c r="O71" s="65"/>
      <c r="P71" s="56"/>
      <c r="Q71" s="184"/>
      <c r="R71" s="184"/>
    </row>
    <row r="72" spans="1:18" s="185" customFormat="1" ht="26.25" customHeight="1" thickBot="1">
      <c r="A72" s="249" t="s">
        <v>292</v>
      </c>
      <c r="B72" s="245" t="s">
        <v>86</v>
      </c>
      <c r="C72" s="211"/>
      <c r="D72" s="211"/>
      <c r="E72" s="211"/>
      <c r="F72" s="243" t="s">
        <v>241</v>
      </c>
      <c r="G72" s="243" t="s">
        <v>241</v>
      </c>
      <c r="H72" s="247" t="s">
        <v>336</v>
      </c>
      <c r="I72" s="246" t="s">
        <v>241</v>
      </c>
      <c r="J72" s="248"/>
      <c r="K72" s="112" t="s">
        <v>389</v>
      </c>
      <c r="L72" s="67" t="str">
        <f>IF(VALUE(T10)&gt;0,"да","нет")</f>
        <v>нет</v>
      </c>
      <c r="M72" s="65"/>
      <c r="N72" s="65"/>
      <c r="O72" s="65"/>
      <c r="P72" s="56"/>
      <c r="Q72" s="184"/>
      <c r="R72" s="184"/>
    </row>
    <row r="73" spans="1:18" s="185" customFormat="1" ht="33" customHeight="1" outlineLevel="1" collapsed="1" thickBot="1">
      <c r="A73" s="264" t="s">
        <v>293</v>
      </c>
      <c r="B73" s="613" t="s">
        <v>378</v>
      </c>
      <c r="C73" s="614"/>
      <c r="D73" s="614"/>
      <c r="E73" s="614"/>
      <c r="F73" s="614"/>
      <c r="G73" s="614"/>
      <c r="H73" s="234"/>
      <c r="I73" s="212" t="s">
        <v>241</v>
      </c>
      <c r="J73" s="213"/>
      <c r="K73" s="235" t="s">
        <v>241</v>
      </c>
      <c r="L73" s="56" t="str">
        <f t="shared" ref="L73:L133" si="3">CONCATENATE(H73)</f>
        <v/>
      </c>
      <c r="M73" s="65"/>
      <c r="N73" s="65"/>
      <c r="O73" s="65"/>
      <c r="P73" s="56"/>
      <c r="Q73" s="184"/>
      <c r="R73" s="184"/>
    </row>
    <row r="74" spans="1:18" s="185" customFormat="1" ht="33" hidden="1" customHeight="1" outlineLevel="2" thickBot="1">
      <c r="A74" s="314" t="s">
        <v>193</v>
      </c>
      <c r="B74" s="315" t="s">
        <v>87</v>
      </c>
      <c r="C74" s="316"/>
      <c r="D74" s="316"/>
      <c r="E74" s="316"/>
      <c r="F74" s="317" t="s">
        <v>99</v>
      </c>
      <c r="G74" s="317" t="s">
        <v>294</v>
      </c>
      <c r="H74" s="368">
        <f>IF(N74="да",Калькулятор!$E$9,Q74)</f>
        <v>0</v>
      </c>
      <c r="I74" s="318">
        <v>2278.9699999999998</v>
      </c>
      <c r="J74" s="319">
        <v>4557.93</v>
      </c>
      <c r="K74" s="111">
        <f>ROUND(IF(VALUE(Калькулятор!$E$10)&gt;150,J74,I74),2)</f>
        <v>2278.9699999999998</v>
      </c>
      <c r="L74" s="56" t="str">
        <f t="shared" si="3"/>
        <v>0</v>
      </c>
      <c r="M74" s="65">
        <f t="shared" ref="M74:M84" si="4">PRODUCT(VALUE(K74),IF(H74="",0,VALUE(H74)))</f>
        <v>0</v>
      </c>
      <c r="N74" s="366" t="s">
        <v>425</v>
      </c>
      <c r="O74" s="65"/>
      <c r="P74" s="56"/>
      <c r="Q74" s="184"/>
      <c r="R74" s="184"/>
    </row>
    <row r="75" spans="1:18" s="185" customFormat="1" ht="33" hidden="1" customHeight="1" outlineLevel="2" thickBot="1">
      <c r="A75" s="314" t="s">
        <v>194</v>
      </c>
      <c r="B75" s="315" t="s">
        <v>88</v>
      </c>
      <c r="C75" s="316"/>
      <c r="D75" s="316"/>
      <c r="E75" s="316"/>
      <c r="F75" s="317" t="s">
        <v>99</v>
      </c>
      <c r="G75" s="317" t="s">
        <v>295</v>
      </c>
      <c r="H75" s="368">
        <f>IF(N75="да",Калькулятор!$E$9,Q75)</f>
        <v>0</v>
      </c>
      <c r="I75" s="318">
        <v>1445.38</v>
      </c>
      <c r="J75" s="320">
        <v>2890.76</v>
      </c>
      <c r="K75" s="111">
        <f>ROUND(IF(VALUE(Калькулятор!$E$10)&gt;150,J75,I75),2)</f>
        <v>1445.38</v>
      </c>
      <c r="L75" s="56" t="str">
        <f t="shared" si="3"/>
        <v>0</v>
      </c>
      <c r="M75" s="65">
        <f t="shared" si="4"/>
        <v>0</v>
      </c>
      <c r="N75" s="366" t="s">
        <v>425</v>
      </c>
      <c r="O75" s="65"/>
      <c r="P75" s="56"/>
      <c r="Q75" s="184"/>
      <c r="R75" s="184"/>
    </row>
    <row r="76" spans="1:18" s="185" customFormat="1" ht="33" hidden="1" customHeight="1" outlineLevel="2" thickBot="1">
      <c r="A76" s="314" t="s">
        <v>195</v>
      </c>
      <c r="B76" s="315" t="s">
        <v>89</v>
      </c>
      <c r="C76" s="316"/>
      <c r="D76" s="316"/>
      <c r="E76" s="316"/>
      <c r="F76" s="317" t="s">
        <v>99</v>
      </c>
      <c r="G76" s="317" t="s">
        <v>296</v>
      </c>
      <c r="H76" s="368">
        <f>IF(N76="да",Калькулятор!$E$9,Q76)</f>
        <v>0</v>
      </c>
      <c r="I76" s="318">
        <v>950.78</v>
      </c>
      <c r="J76" s="320">
        <v>1901.55</v>
      </c>
      <c r="K76" s="111">
        <f>ROUND(IF(VALUE(Калькулятор!$E$10)&gt;150,J76,I76),2)</f>
        <v>950.78</v>
      </c>
      <c r="L76" s="56" t="str">
        <f t="shared" si="3"/>
        <v>0</v>
      </c>
      <c r="M76" s="65">
        <f t="shared" si="4"/>
        <v>0</v>
      </c>
      <c r="N76" s="366" t="s">
        <v>425</v>
      </c>
      <c r="O76" s="65"/>
      <c r="P76" s="56"/>
      <c r="Q76" s="184"/>
      <c r="R76" s="184"/>
    </row>
    <row r="77" spans="1:18" s="185" customFormat="1" ht="33" hidden="1" customHeight="1" outlineLevel="2" thickBot="1">
      <c r="A77" s="314" t="s">
        <v>196</v>
      </c>
      <c r="B77" s="315" t="s">
        <v>90</v>
      </c>
      <c r="C77" s="316"/>
      <c r="D77" s="316"/>
      <c r="E77" s="316"/>
      <c r="F77" s="317" t="s">
        <v>99</v>
      </c>
      <c r="G77" s="317" t="s">
        <v>297</v>
      </c>
      <c r="H77" s="368">
        <f>IF(N77="да",Калькулятор!$E$9,Q77)</f>
        <v>0</v>
      </c>
      <c r="I77" s="318">
        <v>624</v>
      </c>
      <c r="J77" s="320">
        <v>1248</v>
      </c>
      <c r="K77" s="111">
        <f>ROUND(IF(VALUE(Калькулятор!$E$10)&gt;150,J77,I77),2)</f>
        <v>624</v>
      </c>
      <c r="L77" s="56" t="str">
        <f t="shared" si="3"/>
        <v>0</v>
      </c>
      <c r="M77" s="65">
        <f t="shared" si="4"/>
        <v>0</v>
      </c>
      <c r="N77" s="366" t="s">
        <v>425</v>
      </c>
      <c r="O77" s="65"/>
      <c r="P77" s="56"/>
      <c r="Q77" s="184"/>
      <c r="R77" s="184"/>
    </row>
    <row r="78" spans="1:18" s="185" customFormat="1" ht="33" hidden="1" customHeight="1" outlineLevel="2" thickBot="1">
      <c r="A78" s="314" t="s">
        <v>197</v>
      </c>
      <c r="B78" s="315" t="s">
        <v>91</v>
      </c>
      <c r="C78" s="316"/>
      <c r="D78" s="316"/>
      <c r="E78" s="316"/>
      <c r="F78" s="317" t="s">
        <v>99</v>
      </c>
      <c r="G78" s="317" t="s">
        <v>298</v>
      </c>
      <c r="H78" s="368">
        <f>IF(N78="да",Калькулятор!$E$9,Q78)</f>
        <v>0</v>
      </c>
      <c r="I78" s="318">
        <v>408.27</v>
      </c>
      <c r="J78" s="320">
        <v>816.53</v>
      </c>
      <c r="K78" s="111">
        <f>ROUND(IF(VALUE(Калькулятор!$E$10)&gt;150,J78,I78),2)</f>
        <v>408.27</v>
      </c>
      <c r="L78" s="56" t="str">
        <f t="shared" si="3"/>
        <v>0</v>
      </c>
      <c r="M78" s="65">
        <f t="shared" si="4"/>
        <v>0</v>
      </c>
      <c r="N78" s="366" t="s">
        <v>425</v>
      </c>
      <c r="O78" s="65"/>
      <c r="P78" s="56"/>
      <c r="Q78" s="184"/>
      <c r="R78" s="184"/>
    </row>
    <row r="79" spans="1:18" s="185" customFormat="1" ht="33" hidden="1" customHeight="1" outlineLevel="2" thickBot="1">
      <c r="A79" s="314" t="s">
        <v>198</v>
      </c>
      <c r="B79" s="315" t="s">
        <v>92</v>
      </c>
      <c r="C79" s="316"/>
      <c r="D79" s="316"/>
      <c r="E79" s="316"/>
      <c r="F79" s="317" t="s">
        <v>99</v>
      </c>
      <c r="G79" s="317" t="s">
        <v>299</v>
      </c>
      <c r="H79" s="368">
        <f>IF(N79="да",Калькулятор!$E$9,Q79)</f>
        <v>0</v>
      </c>
      <c r="I79" s="318">
        <v>280.63</v>
      </c>
      <c r="J79" s="320">
        <v>561.26</v>
      </c>
      <c r="K79" s="111">
        <f>ROUND(IF(VALUE(Калькулятор!$E$10)&gt;150,J79,I79),2)</f>
        <v>280.63</v>
      </c>
      <c r="L79" s="56" t="str">
        <f t="shared" si="3"/>
        <v>0</v>
      </c>
      <c r="M79" s="65">
        <f t="shared" si="4"/>
        <v>0</v>
      </c>
      <c r="N79" s="366" t="s">
        <v>425</v>
      </c>
      <c r="O79" s="65"/>
      <c r="P79" s="56"/>
      <c r="Q79" s="184"/>
      <c r="R79" s="184"/>
    </row>
    <row r="80" spans="1:18" s="185" customFormat="1" ht="33" hidden="1" customHeight="1" outlineLevel="2" thickBot="1">
      <c r="A80" s="314" t="s">
        <v>379</v>
      </c>
      <c r="B80" s="315" t="s">
        <v>93</v>
      </c>
      <c r="C80" s="316"/>
      <c r="D80" s="316"/>
      <c r="E80" s="316"/>
      <c r="F80" s="317" t="s">
        <v>101</v>
      </c>
      <c r="G80" s="317" t="s">
        <v>299</v>
      </c>
      <c r="H80" s="368">
        <f>IF(N80="да",Калькулятор!$E$9,Q80)</f>
        <v>0</v>
      </c>
      <c r="I80" s="318">
        <v>572.12</v>
      </c>
      <c r="J80" s="320">
        <v>1144.25</v>
      </c>
      <c r="K80" s="111">
        <f>ROUND(IF(VALUE(Калькулятор!$E$10)&gt;150,J80,I80),2)</f>
        <v>572.12</v>
      </c>
      <c r="L80" s="56" t="str">
        <f t="shared" si="3"/>
        <v>0</v>
      </c>
      <c r="M80" s="65">
        <f t="shared" si="4"/>
        <v>0</v>
      </c>
      <c r="N80" s="366" t="s">
        <v>425</v>
      </c>
      <c r="O80" s="65"/>
      <c r="P80" s="56"/>
      <c r="Q80" s="184"/>
      <c r="R80" s="184"/>
    </row>
    <row r="81" spans="1:21" s="185" customFormat="1" ht="33" hidden="1" customHeight="1" outlineLevel="2" thickBot="1">
      <c r="A81" s="314" t="s">
        <v>380</v>
      </c>
      <c r="B81" s="315" t="s">
        <v>94</v>
      </c>
      <c r="C81" s="316"/>
      <c r="D81" s="316"/>
      <c r="E81" s="316"/>
      <c r="F81" s="317" t="s">
        <v>102</v>
      </c>
      <c r="G81" s="317" t="s">
        <v>302</v>
      </c>
      <c r="H81" s="368">
        <f>IF(N81="да",Калькулятор!$E$9,Q81)</f>
        <v>0</v>
      </c>
      <c r="I81" s="318">
        <v>195.69</v>
      </c>
      <c r="J81" s="320">
        <v>391.38</v>
      </c>
      <c r="K81" s="111">
        <f>ROUND(IF(VALUE(Калькулятор!$E$10)&gt;150,J81,I81),2)</f>
        <v>195.69</v>
      </c>
      <c r="L81" s="56" t="str">
        <f t="shared" si="3"/>
        <v>0</v>
      </c>
      <c r="M81" s="65">
        <f t="shared" si="4"/>
        <v>0</v>
      </c>
      <c r="N81" s="366" t="s">
        <v>425</v>
      </c>
      <c r="O81" s="65"/>
      <c r="P81" s="56"/>
      <c r="Q81" s="184"/>
      <c r="R81" s="184"/>
    </row>
    <row r="82" spans="1:21" s="185" customFormat="1" ht="33" hidden="1" customHeight="1" outlineLevel="2" thickBot="1">
      <c r="A82" s="314" t="s">
        <v>381</v>
      </c>
      <c r="B82" s="315" t="s">
        <v>95</v>
      </c>
      <c r="C82" s="316"/>
      <c r="D82" s="316"/>
      <c r="E82" s="316"/>
      <c r="F82" s="317" t="s">
        <v>104</v>
      </c>
      <c r="G82" s="317" t="s">
        <v>302</v>
      </c>
      <c r="H82" s="368">
        <f>IF(N82="да",Калькулятор!$E$9,Q82)</f>
        <v>0</v>
      </c>
      <c r="I82" s="318">
        <v>398.17</v>
      </c>
      <c r="J82" s="320">
        <v>796.33</v>
      </c>
      <c r="K82" s="111">
        <f>ROUND(IF(VALUE(Калькулятор!$E$10)&gt;150,J82,I82),2)</f>
        <v>398.17</v>
      </c>
      <c r="L82" s="56" t="str">
        <f t="shared" si="3"/>
        <v>0</v>
      </c>
      <c r="M82" s="65">
        <f t="shared" si="4"/>
        <v>0</v>
      </c>
      <c r="N82" s="366" t="s">
        <v>425</v>
      </c>
      <c r="O82" s="65"/>
      <c r="P82" s="56"/>
      <c r="Q82" s="184"/>
      <c r="R82" s="184"/>
    </row>
    <row r="83" spans="1:21" s="185" customFormat="1" ht="33" hidden="1" customHeight="1" outlineLevel="2" thickBot="1">
      <c r="A83" s="314" t="s">
        <v>382</v>
      </c>
      <c r="B83" s="315" t="s">
        <v>96</v>
      </c>
      <c r="C83" s="316"/>
      <c r="D83" s="316"/>
      <c r="E83" s="316"/>
      <c r="F83" s="317" t="s">
        <v>102</v>
      </c>
      <c r="G83" s="317" t="s">
        <v>303</v>
      </c>
      <c r="H83" s="368">
        <f>IF(N83="да",Калькулятор!$E$9,Q83)</f>
        <v>0</v>
      </c>
      <c r="I83" s="318">
        <v>143.44999999999999</v>
      </c>
      <c r="J83" s="320">
        <v>286.89999999999998</v>
      </c>
      <c r="K83" s="111">
        <f>ROUND(IF(VALUE(Калькулятор!$E$10)&gt;150,J83,I83),2)</f>
        <v>143.44999999999999</v>
      </c>
      <c r="L83" s="56" t="str">
        <f t="shared" si="3"/>
        <v>0</v>
      </c>
      <c r="M83" s="65">
        <f t="shared" si="4"/>
        <v>0</v>
      </c>
      <c r="N83" s="366" t="s">
        <v>425</v>
      </c>
      <c r="O83" s="65"/>
      <c r="P83" s="56"/>
      <c r="Q83" s="184"/>
      <c r="R83" s="184"/>
    </row>
    <row r="84" spans="1:21" s="185" customFormat="1" ht="33" hidden="1" customHeight="1" outlineLevel="2" thickBot="1">
      <c r="A84" s="314" t="s">
        <v>383</v>
      </c>
      <c r="B84" s="315" t="s">
        <v>97</v>
      </c>
      <c r="C84" s="316"/>
      <c r="D84" s="316"/>
      <c r="E84" s="316"/>
      <c r="F84" s="317" t="s">
        <v>104</v>
      </c>
      <c r="G84" s="317" t="s">
        <v>303</v>
      </c>
      <c r="H84" s="368">
        <f>IF(N84="да",Калькулятор!$E$9,Q84)</f>
        <v>0</v>
      </c>
      <c r="I84" s="318">
        <v>295.11</v>
      </c>
      <c r="J84" s="321">
        <v>590.22</v>
      </c>
      <c r="K84" s="111">
        <f>ROUND(IF(VALUE(Калькулятор!$E$10)&gt;150,J84,I84),2)</f>
        <v>295.11</v>
      </c>
      <c r="L84" s="56" t="str">
        <f t="shared" si="3"/>
        <v>0</v>
      </c>
      <c r="M84" s="65">
        <f t="shared" si="4"/>
        <v>0</v>
      </c>
      <c r="N84" s="366" t="s">
        <v>425</v>
      </c>
      <c r="O84" s="65"/>
      <c r="P84" s="56"/>
      <c r="Q84" s="184"/>
      <c r="R84" s="184"/>
    </row>
    <row r="85" spans="1:21" s="185" customFormat="1" ht="33" customHeight="1" outlineLevel="1" thickBot="1">
      <c r="A85" s="264" t="s">
        <v>300</v>
      </c>
      <c r="B85" s="613" t="s">
        <v>373</v>
      </c>
      <c r="C85" s="614"/>
      <c r="D85" s="614"/>
      <c r="E85" s="614"/>
      <c r="F85" s="614"/>
      <c r="G85" s="614"/>
      <c r="H85" s="234"/>
      <c r="I85" s="234"/>
      <c r="J85" s="236"/>
      <c r="K85" s="235" t="s">
        <v>241</v>
      </c>
      <c r="L85" s="56" t="str">
        <f t="shared" si="3"/>
        <v/>
      </c>
      <c r="M85" s="65"/>
      <c r="N85" s="366"/>
      <c r="O85" s="65"/>
      <c r="P85" s="56"/>
      <c r="Q85" s="184"/>
      <c r="R85" s="184"/>
    </row>
    <row r="86" spans="1:21" s="185" customFormat="1" ht="33" customHeight="1" outlineLevel="2" thickBot="1">
      <c r="A86" s="314" t="s">
        <v>199</v>
      </c>
      <c r="B86" s="315" t="s">
        <v>98</v>
      </c>
      <c r="C86" s="316"/>
      <c r="D86" s="316"/>
      <c r="E86" s="316"/>
      <c r="F86" s="317" t="s">
        <v>99</v>
      </c>
      <c r="G86" s="317" t="s">
        <v>294</v>
      </c>
      <c r="H86" s="368">
        <f>IF(N86="да",Калькулятор!$E$9,Q86)</f>
        <v>0</v>
      </c>
      <c r="I86" s="318">
        <v>1333.1</v>
      </c>
      <c r="J86" s="319">
        <v>2666.2</v>
      </c>
      <c r="K86" s="111">
        <f>ROUND(IF(VALUE(Калькулятор!$E$10)&gt;150,J86,I86),2)</f>
        <v>1333.1</v>
      </c>
      <c r="L86" s="56" t="str">
        <f t="shared" si="3"/>
        <v>0</v>
      </c>
      <c r="M86" s="65">
        <f t="shared" ref="M86:M96" si="5">PRODUCT(VALUE(K86),IF(H86="",0,VALUE(H86)))</f>
        <v>0</v>
      </c>
      <c r="N86" s="367" t="s">
        <v>425</v>
      </c>
      <c r="O86" s="65"/>
      <c r="P86" s="56"/>
      <c r="Q86" s="184"/>
      <c r="R86" s="184"/>
    </row>
    <row r="87" spans="1:21" s="185" customFormat="1" ht="33" customHeight="1" outlineLevel="2" thickBot="1">
      <c r="A87" s="381" t="s">
        <v>200</v>
      </c>
      <c r="B87" s="374" t="s">
        <v>443</v>
      </c>
      <c r="C87" s="375"/>
      <c r="D87" s="375"/>
      <c r="E87" s="375"/>
      <c r="F87" s="382" t="s">
        <v>99</v>
      </c>
      <c r="G87" s="382" t="s">
        <v>444</v>
      </c>
      <c r="H87" s="388">
        <f>IF(N87="да",Калькулятор!$E$9,O87)</f>
        <v>0</v>
      </c>
      <c r="I87" s="378">
        <v>1439.09</v>
      </c>
      <c r="J87" s="389">
        <v>2878.19</v>
      </c>
      <c r="K87" s="111">
        <f>ROUND(IF(VALUE(Калькулятор!$E$10)&gt;150,J87,I87),2)</f>
        <v>1439.09</v>
      </c>
      <c r="L87" s="56" t="str">
        <f t="shared" si="3"/>
        <v>0</v>
      </c>
      <c r="M87" s="65">
        <f t="shared" si="5"/>
        <v>0</v>
      </c>
      <c r="N87" s="366" t="s">
        <v>425</v>
      </c>
      <c r="O87" s="65"/>
      <c r="P87" s="56"/>
      <c r="Q87" s="184"/>
      <c r="R87" s="184"/>
    </row>
    <row r="88" spans="1:21" s="185" customFormat="1" ht="33" customHeight="1" outlineLevel="2" thickBot="1">
      <c r="A88" s="381" t="s">
        <v>201</v>
      </c>
      <c r="B88" s="374" t="s">
        <v>445</v>
      </c>
      <c r="C88" s="375"/>
      <c r="D88" s="375"/>
      <c r="E88" s="375"/>
      <c r="F88" s="382" t="s">
        <v>99</v>
      </c>
      <c r="G88" s="382" t="s">
        <v>446</v>
      </c>
      <c r="H88" s="388">
        <f>IF(N88="да",Калькулятор!$E$9,O88)</f>
        <v>0</v>
      </c>
      <c r="I88" s="378">
        <v>907.95</v>
      </c>
      <c r="J88" s="389">
        <v>1815.9</v>
      </c>
      <c r="K88" s="111">
        <f>ROUND(IF(VALUE(Калькулятор!$E$10)&gt;150,J88,I88),2)</f>
        <v>907.95</v>
      </c>
      <c r="L88" s="56" t="str">
        <f t="shared" si="3"/>
        <v>0</v>
      </c>
      <c r="M88" s="65">
        <f t="shared" si="5"/>
        <v>0</v>
      </c>
      <c r="N88" s="366" t="s">
        <v>425</v>
      </c>
      <c r="O88" s="65"/>
      <c r="P88" s="56"/>
      <c r="Q88" s="56"/>
      <c r="R88" s="56"/>
      <c r="S88" s="56"/>
      <c r="T88" s="184"/>
      <c r="U88" s="184"/>
    </row>
    <row r="89" spans="1:21" s="185" customFormat="1" ht="33" customHeight="1" outlineLevel="2" thickBot="1">
      <c r="A89" s="381" t="s">
        <v>202</v>
      </c>
      <c r="B89" s="374" t="s">
        <v>447</v>
      </c>
      <c r="C89" s="375"/>
      <c r="D89" s="375"/>
      <c r="E89" s="375"/>
      <c r="F89" s="382" t="s">
        <v>99</v>
      </c>
      <c r="G89" s="382" t="s">
        <v>448</v>
      </c>
      <c r="H89" s="388">
        <f>IF(N89="да",Калькулятор!$E$9,O89)</f>
        <v>0</v>
      </c>
      <c r="I89" s="378">
        <v>592.05999999999995</v>
      </c>
      <c r="J89" s="389">
        <v>1184.1300000000001</v>
      </c>
      <c r="K89" s="111">
        <f>ROUND(IF(VALUE(Калькулятор!$E$10)&gt;150,J89,I89),2)</f>
        <v>592.05999999999995</v>
      </c>
      <c r="L89" s="56" t="str">
        <f t="shared" si="3"/>
        <v>0</v>
      </c>
      <c r="M89" s="65">
        <f t="shared" si="5"/>
        <v>0</v>
      </c>
      <c r="N89" s="366" t="s">
        <v>50</v>
      </c>
      <c r="O89" s="365"/>
      <c r="P89" s="56"/>
      <c r="Q89" s="56"/>
      <c r="R89" s="56"/>
      <c r="S89" s="56"/>
      <c r="T89" s="184"/>
      <c r="U89" s="184" t="s">
        <v>50</v>
      </c>
    </row>
    <row r="90" spans="1:21" s="185" customFormat="1" ht="33" customHeight="1" outlineLevel="2" thickBot="1">
      <c r="A90" s="381" t="s">
        <v>203</v>
      </c>
      <c r="B90" s="374" t="s">
        <v>449</v>
      </c>
      <c r="C90" s="375"/>
      <c r="D90" s="375"/>
      <c r="E90" s="375"/>
      <c r="F90" s="382" t="s">
        <v>99</v>
      </c>
      <c r="G90" s="382" t="s">
        <v>450</v>
      </c>
      <c r="H90" s="388">
        <f>IF(N90="да",Калькулятор!$E$9,O90)</f>
        <v>0</v>
      </c>
      <c r="I90" s="378">
        <v>380.34</v>
      </c>
      <c r="J90" s="389">
        <v>760.69</v>
      </c>
      <c r="K90" s="111">
        <f>ROUND(IF(VALUE(Калькулятор!$E$10)&gt;150,J90,I90),2)</f>
        <v>380.34</v>
      </c>
      <c r="L90" s="56" t="str">
        <f t="shared" si="3"/>
        <v>0</v>
      </c>
      <c r="M90" s="65">
        <f t="shared" si="5"/>
        <v>0</v>
      </c>
      <c r="N90" s="366" t="s">
        <v>425</v>
      </c>
      <c r="O90" s="65"/>
      <c r="P90" s="56"/>
      <c r="Q90" s="184"/>
      <c r="R90" s="184"/>
    </row>
    <row r="91" spans="1:21" s="185" customFormat="1" ht="33" customHeight="1" outlineLevel="2" thickBot="1">
      <c r="A91" s="381" t="s">
        <v>204</v>
      </c>
      <c r="B91" s="374" t="s">
        <v>451</v>
      </c>
      <c r="C91" s="375"/>
      <c r="D91" s="375"/>
      <c r="E91" s="375"/>
      <c r="F91" s="382" t="s">
        <v>99</v>
      </c>
      <c r="G91" s="382" t="s">
        <v>452</v>
      </c>
      <c r="H91" s="388">
        <f>IF(N91="да",Калькулятор!$E$9,O91)</f>
        <v>0</v>
      </c>
      <c r="I91" s="378">
        <v>294.54000000000002</v>
      </c>
      <c r="J91" s="389">
        <v>589.09</v>
      </c>
      <c r="K91" s="111">
        <f>ROUND(IF(VALUE(Калькулятор!$E$10)&gt;150,J91,I91),2)</f>
        <v>294.54000000000002</v>
      </c>
      <c r="L91" s="56" t="str">
        <f t="shared" si="3"/>
        <v>0</v>
      </c>
      <c r="M91" s="65">
        <f t="shared" si="5"/>
        <v>0</v>
      </c>
      <c r="N91" s="366" t="s">
        <v>50</v>
      </c>
      <c r="O91" s="65"/>
      <c r="P91" s="56"/>
      <c r="Q91" s="184"/>
      <c r="R91" s="184"/>
    </row>
    <row r="92" spans="1:21" s="185" customFormat="1" ht="33" customHeight="1" outlineLevel="2" thickBot="1">
      <c r="A92" s="381" t="s">
        <v>374</v>
      </c>
      <c r="B92" s="374" t="s">
        <v>100</v>
      </c>
      <c r="C92" s="375"/>
      <c r="D92" s="375"/>
      <c r="E92" s="375"/>
      <c r="F92" s="382" t="s">
        <v>101</v>
      </c>
      <c r="G92" s="382" t="s">
        <v>299</v>
      </c>
      <c r="H92" s="388">
        <f>IF(N92="да",Калькулятор!$E$9,O92)</f>
        <v>0</v>
      </c>
      <c r="I92" s="378">
        <v>582.79999999999995</v>
      </c>
      <c r="J92" s="389">
        <v>1165.5999999999999</v>
      </c>
      <c r="K92" s="111">
        <f>ROUND(IF(VALUE(Калькулятор!$E$10)&gt;150,J92,I92),2)</f>
        <v>582.79999999999995</v>
      </c>
      <c r="L92" s="56" t="str">
        <f t="shared" si="3"/>
        <v>0</v>
      </c>
      <c r="M92" s="65">
        <f t="shared" si="5"/>
        <v>0</v>
      </c>
      <c r="N92" s="366" t="s">
        <v>425</v>
      </c>
      <c r="O92" s="65"/>
      <c r="P92" s="56"/>
      <c r="Q92" s="184"/>
      <c r="R92" s="184"/>
    </row>
    <row r="93" spans="1:21" s="185" customFormat="1" ht="33" customHeight="1" outlineLevel="2" thickBot="1">
      <c r="A93" s="381" t="s">
        <v>375</v>
      </c>
      <c r="B93" s="374" t="s">
        <v>455</v>
      </c>
      <c r="C93" s="375"/>
      <c r="D93" s="375"/>
      <c r="E93" s="375"/>
      <c r="F93" s="382" t="s">
        <v>104</v>
      </c>
      <c r="G93" s="382" t="s">
        <v>297</v>
      </c>
      <c r="H93" s="388">
        <f>IF(N93="да",Калькулятор!$E$9,O93)</f>
        <v>0</v>
      </c>
      <c r="I93" s="378">
        <v>1184.1300000000001</v>
      </c>
      <c r="J93" s="389">
        <v>2368.2600000000002</v>
      </c>
      <c r="K93" s="111">
        <f>ROUND(IF(VALUE(Калькулятор!$E$10)&gt;150,J93,I93),2)</f>
        <v>1184.1300000000001</v>
      </c>
      <c r="L93" s="56" t="str">
        <f t="shared" si="3"/>
        <v>0</v>
      </c>
      <c r="M93" s="65">
        <f t="shared" si="5"/>
        <v>0</v>
      </c>
      <c r="N93" s="366" t="s">
        <v>425</v>
      </c>
      <c r="O93" s="65"/>
      <c r="P93" s="56"/>
      <c r="Q93" s="184"/>
      <c r="R93" s="184"/>
    </row>
    <row r="94" spans="1:21" s="185" customFormat="1" ht="33" hidden="1" customHeight="1" outlineLevel="2" thickBot="1">
      <c r="A94" s="314" t="s">
        <v>376</v>
      </c>
      <c r="B94" s="315" t="s">
        <v>103</v>
      </c>
      <c r="C94" s="316"/>
      <c r="D94" s="316"/>
      <c r="E94" s="316"/>
      <c r="F94" s="317" t="s">
        <v>104</v>
      </c>
      <c r="G94" s="317" t="s">
        <v>302</v>
      </c>
      <c r="H94" s="368">
        <f>IF(N94="да",Калькулятор!$E$9,O94)</f>
        <v>0</v>
      </c>
      <c r="I94" s="318">
        <v>269.14</v>
      </c>
      <c r="J94" s="320">
        <v>538.28</v>
      </c>
      <c r="K94" s="111">
        <f>ROUND(IF(VALUE(Калькулятор!$E$10)&gt;150,J94,I94),2)</f>
        <v>269.14</v>
      </c>
      <c r="L94" s="56" t="str">
        <f t="shared" si="3"/>
        <v>0</v>
      </c>
      <c r="M94" s="65">
        <f t="shared" si="5"/>
        <v>0</v>
      </c>
      <c r="N94" s="366" t="s">
        <v>425</v>
      </c>
      <c r="O94" s="65"/>
      <c r="P94" s="56"/>
      <c r="Q94" s="184"/>
      <c r="R94" s="184"/>
    </row>
    <row r="95" spans="1:21" s="185" customFormat="1" ht="33" customHeight="1" outlineLevel="2" thickBot="1">
      <c r="A95" s="381" t="s">
        <v>376</v>
      </c>
      <c r="B95" s="374" t="s">
        <v>453</v>
      </c>
      <c r="C95" s="375"/>
      <c r="D95" s="375"/>
      <c r="E95" s="375"/>
      <c r="F95" s="382" t="s">
        <v>99</v>
      </c>
      <c r="G95" s="382" t="s">
        <v>454</v>
      </c>
      <c r="H95" s="388">
        <f>IF(N95="да",Калькулятор!$E$9,O95)</f>
        <v>0</v>
      </c>
      <c r="I95" s="378">
        <v>161.43</v>
      </c>
      <c r="J95" s="389">
        <v>322.86</v>
      </c>
      <c r="K95" s="111">
        <f>ROUND(IF(VALUE(Калькулятор!$E$10)&gt;150,J95,I95),2)</f>
        <v>161.43</v>
      </c>
      <c r="L95" s="56" t="str">
        <f t="shared" si="3"/>
        <v>0</v>
      </c>
      <c r="M95" s="65">
        <f t="shared" si="5"/>
        <v>0</v>
      </c>
      <c r="N95" s="366" t="s">
        <v>425</v>
      </c>
      <c r="O95" s="65"/>
      <c r="P95" s="56"/>
      <c r="Q95" s="184"/>
      <c r="R95" s="184"/>
    </row>
    <row r="96" spans="1:21" s="185" customFormat="1" ht="33" customHeight="1" outlineLevel="2" thickBot="1">
      <c r="A96" s="381" t="s">
        <v>377</v>
      </c>
      <c r="B96" s="374" t="s">
        <v>456</v>
      </c>
      <c r="C96" s="375"/>
      <c r="D96" s="375"/>
      <c r="E96" s="375"/>
      <c r="F96" s="382" t="s">
        <v>99</v>
      </c>
      <c r="G96" s="382" t="s">
        <v>457</v>
      </c>
      <c r="H96" s="388">
        <f>IF(N96="да",Калькулятор!$E$9,O96)</f>
        <v>0</v>
      </c>
      <c r="I96" s="378">
        <v>145.88999999999999</v>
      </c>
      <c r="J96" s="390">
        <v>291.77999999999997</v>
      </c>
      <c r="K96" s="111">
        <f>ROUND(IF(VALUE(Калькулятор!$E$10)&gt;150,J96,I96),2)</f>
        <v>145.88999999999999</v>
      </c>
      <c r="L96" s="56" t="str">
        <f t="shared" si="3"/>
        <v>0</v>
      </c>
      <c r="M96" s="65">
        <f t="shared" si="5"/>
        <v>0</v>
      </c>
      <c r="N96" s="366" t="s">
        <v>425</v>
      </c>
      <c r="O96" s="65"/>
      <c r="P96" s="56"/>
      <c r="Q96" s="184"/>
      <c r="R96" s="184"/>
    </row>
    <row r="97" spans="1:18" s="185" customFormat="1" ht="33" customHeight="1" outlineLevel="1" collapsed="1" thickBot="1">
      <c r="A97" s="264" t="s">
        <v>301</v>
      </c>
      <c r="B97" s="615" t="s">
        <v>308</v>
      </c>
      <c r="C97" s="616"/>
      <c r="D97" s="616"/>
      <c r="E97" s="616"/>
      <c r="F97" s="616"/>
      <c r="G97" s="616"/>
      <c r="H97" s="212"/>
      <c r="I97" s="234"/>
      <c r="J97" s="213"/>
      <c r="K97" s="112" t="s">
        <v>241</v>
      </c>
      <c r="L97" s="56" t="str">
        <f t="shared" si="3"/>
        <v/>
      </c>
      <c r="M97" s="65"/>
      <c r="N97" s="366"/>
      <c r="O97" s="65"/>
      <c r="P97" s="56"/>
      <c r="Q97" s="184"/>
      <c r="R97" s="184"/>
    </row>
    <row r="98" spans="1:18" s="185" customFormat="1" ht="33" hidden="1" customHeight="1" outlineLevel="2" thickBot="1">
      <c r="A98" s="314" t="s">
        <v>205</v>
      </c>
      <c r="B98" s="322" t="s">
        <v>105</v>
      </c>
      <c r="C98" s="323"/>
      <c r="D98" s="323"/>
      <c r="E98" s="323"/>
      <c r="F98" s="317" t="s">
        <v>106</v>
      </c>
      <c r="G98" s="317" t="s">
        <v>302</v>
      </c>
      <c r="H98" s="368">
        <f>IF(N98="да",Калькулятор!$E$9,O98)</f>
        <v>0</v>
      </c>
      <c r="I98" s="318">
        <v>1073.02</v>
      </c>
      <c r="J98" s="319">
        <v>2146.0300000000002</v>
      </c>
      <c r="K98" s="111">
        <f>ROUND(IF(VALUE(Калькулятор!$E$10)&gt;150,J98,I98),2)</f>
        <v>1073.02</v>
      </c>
      <c r="L98" s="56" t="str">
        <f t="shared" si="3"/>
        <v>0</v>
      </c>
      <c r="M98" s="65">
        <f>PRODUCT(VALUE(K98),IF(H98="",0,VALUE(H98)))</f>
        <v>0</v>
      </c>
      <c r="N98" s="366" t="s">
        <v>425</v>
      </c>
      <c r="O98" s="65"/>
      <c r="P98" s="56"/>
      <c r="Q98" s="184"/>
      <c r="R98" s="184"/>
    </row>
    <row r="99" spans="1:18" s="185" customFormat="1" ht="33" hidden="1" customHeight="1" outlineLevel="2" thickBot="1">
      <c r="A99" s="314" t="s">
        <v>206</v>
      </c>
      <c r="B99" s="322" t="s">
        <v>107</v>
      </c>
      <c r="C99" s="323"/>
      <c r="D99" s="323"/>
      <c r="E99" s="323"/>
      <c r="F99" s="317" t="s">
        <v>106</v>
      </c>
      <c r="G99" s="317" t="s">
        <v>303</v>
      </c>
      <c r="H99" s="368">
        <f>IF(N99="да",Калькулятор!$E$9,O99)</f>
        <v>0</v>
      </c>
      <c r="I99" s="318">
        <v>696.13</v>
      </c>
      <c r="J99" s="320">
        <v>1392.27</v>
      </c>
      <c r="K99" s="111">
        <f>ROUND(IF(VALUE(Калькулятор!$E$10)&gt;150,J99,I99),2)</f>
        <v>696.13</v>
      </c>
      <c r="L99" s="56" t="str">
        <f t="shared" si="3"/>
        <v>0</v>
      </c>
      <c r="M99" s="65">
        <f>PRODUCT(VALUE(K99),IF(H99="",0,VALUE(H99)))</f>
        <v>0</v>
      </c>
      <c r="N99" s="366" t="s">
        <v>425</v>
      </c>
      <c r="O99" s="65"/>
      <c r="P99" s="56"/>
      <c r="Q99" s="184"/>
      <c r="R99" s="184"/>
    </row>
    <row r="100" spans="1:18" s="185" customFormat="1" ht="33" hidden="1" customHeight="1" outlineLevel="2" thickBot="1">
      <c r="A100" s="314" t="s">
        <v>207</v>
      </c>
      <c r="B100" s="322" t="s">
        <v>108</v>
      </c>
      <c r="C100" s="323"/>
      <c r="D100" s="323"/>
      <c r="E100" s="323"/>
      <c r="F100" s="317" t="s">
        <v>106</v>
      </c>
      <c r="G100" s="317" t="s">
        <v>309</v>
      </c>
      <c r="H100" s="368">
        <f>IF(N100="да",Калькулятор!$E$9,O100)</f>
        <v>0</v>
      </c>
      <c r="I100" s="318">
        <v>451.7</v>
      </c>
      <c r="J100" s="320">
        <v>903.41</v>
      </c>
      <c r="K100" s="111">
        <f>ROUND(IF(VALUE(Калькулятор!$E$10)&gt;150,J100,I100),2)</f>
        <v>451.7</v>
      </c>
      <c r="L100" s="56" t="str">
        <f t="shared" si="3"/>
        <v>0</v>
      </c>
      <c r="M100" s="65">
        <f>PRODUCT(VALUE(K100),IF(H100="",0,VALUE(H100)))</f>
        <v>0</v>
      </c>
      <c r="N100" s="366" t="s">
        <v>425</v>
      </c>
      <c r="O100" s="65"/>
      <c r="P100" s="56"/>
      <c r="Q100" s="184"/>
      <c r="R100" s="184"/>
    </row>
    <row r="101" spans="1:18" s="185" customFormat="1" ht="33" hidden="1" customHeight="1" outlineLevel="2" thickBot="1">
      <c r="A101" s="314" t="s">
        <v>208</v>
      </c>
      <c r="B101" s="322" t="s">
        <v>109</v>
      </c>
      <c r="C101" s="323"/>
      <c r="D101" s="323"/>
      <c r="E101" s="323"/>
      <c r="F101" s="317" t="s">
        <v>106</v>
      </c>
      <c r="G101" s="317" t="s">
        <v>310</v>
      </c>
      <c r="H101" s="368">
        <f>IF(N101="да",Калькулятор!$E$9,O101)</f>
        <v>0</v>
      </c>
      <c r="I101" s="318">
        <v>376.64</v>
      </c>
      <c r="J101" s="320">
        <v>753.28</v>
      </c>
      <c r="K101" s="111">
        <f>ROUND(IF(VALUE(Калькулятор!$E$10)&gt;150,J101,I101),2)</f>
        <v>376.64</v>
      </c>
      <c r="L101" s="56" t="str">
        <f t="shared" si="3"/>
        <v>0</v>
      </c>
      <c r="M101" s="65">
        <f>PRODUCT(VALUE(K101),IF(H101="",0,VALUE(H101)))</f>
        <v>0</v>
      </c>
      <c r="N101" s="366" t="s">
        <v>425</v>
      </c>
      <c r="O101" s="65"/>
      <c r="P101" s="56"/>
      <c r="Q101" s="184"/>
      <c r="R101" s="184"/>
    </row>
    <row r="102" spans="1:18" s="185" customFormat="1" ht="33" hidden="1" customHeight="1" outlineLevel="2" thickBot="1">
      <c r="A102" s="314" t="s">
        <v>209</v>
      </c>
      <c r="B102" s="322" t="s">
        <v>110</v>
      </c>
      <c r="C102" s="323"/>
      <c r="D102" s="323"/>
      <c r="E102" s="323"/>
      <c r="F102" s="317" t="s">
        <v>106</v>
      </c>
      <c r="G102" s="317" t="s">
        <v>311</v>
      </c>
      <c r="H102" s="368">
        <f>IF(N102="да",Калькулятор!$E$9,O102)</f>
        <v>0</v>
      </c>
      <c r="I102" s="318">
        <v>322.45</v>
      </c>
      <c r="J102" s="321">
        <v>644.9</v>
      </c>
      <c r="K102" s="111">
        <f>ROUND(IF(VALUE(Калькулятор!$E$10)&gt;150,J102,I102),2)</f>
        <v>322.45</v>
      </c>
      <c r="L102" s="56" t="str">
        <f t="shared" si="3"/>
        <v>0</v>
      </c>
      <c r="M102" s="65">
        <f>PRODUCT(VALUE(K102),IF(H102="",0,VALUE(H102)))</f>
        <v>0</v>
      </c>
      <c r="N102" s="366" t="s">
        <v>425</v>
      </c>
      <c r="O102" s="65"/>
      <c r="P102" s="56"/>
      <c r="Q102" s="184"/>
      <c r="R102" s="184"/>
    </row>
    <row r="103" spans="1:18" s="185" customFormat="1" ht="33" customHeight="1" outlineLevel="1" collapsed="1" thickBot="1">
      <c r="A103" s="264" t="s">
        <v>304</v>
      </c>
      <c r="B103" s="615" t="s">
        <v>313</v>
      </c>
      <c r="C103" s="616"/>
      <c r="D103" s="616"/>
      <c r="E103" s="616"/>
      <c r="F103" s="616"/>
      <c r="G103" s="616"/>
      <c r="H103" s="212"/>
      <c r="I103" s="212"/>
      <c r="J103" s="213"/>
      <c r="K103" s="112" t="s">
        <v>241</v>
      </c>
      <c r="L103" s="56" t="str">
        <f t="shared" si="3"/>
        <v/>
      </c>
      <c r="M103" s="65"/>
      <c r="N103" s="366"/>
      <c r="O103" s="65"/>
      <c r="P103" s="56"/>
      <c r="Q103" s="184"/>
      <c r="R103" s="184"/>
    </row>
    <row r="104" spans="1:18" s="185" customFormat="1" ht="33" hidden="1" customHeight="1" outlineLevel="2" thickBot="1">
      <c r="A104" s="314" t="s">
        <v>210</v>
      </c>
      <c r="B104" s="322" t="s">
        <v>111</v>
      </c>
      <c r="C104" s="323"/>
      <c r="D104" s="323"/>
      <c r="E104" s="323"/>
      <c r="F104" s="317" t="s">
        <v>112</v>
      </c>
      <c r="G104" s="317" t="s">
        <v>302</v>
      </c>
      <c r="H104" s="368">
        <f>IF(N104="да",Калькулятор!$E$9,O104)</f>
        <v>0</v>
      </c>
      <c r="I104" s="318">
        <v>2393.29</v>
      </c>
      <c r="J104" s="319">
        <v>4786.57</v>
      </c>
      <c r="K104" s="111">
        <f>ROUND(IF(VALUE(Калькулятор!$E$10)&gt;150,J104,I104),2)</f>
        <v>2393.29</v>
      </c>
      <c r="L104" s="56" t="str">
        <f t="shared" si="3"/>
        <v>0</v>
      </c>
      <c r="M104" s="65">
        <f>PRODUCT(VALUE(K104),IF(H104="",0,VALUE(H104)))</f>
        <v>0</v>
      </c>
      <c r="N104" s="366" t="s">
        <v>425</v>
      </c>
      <c r="O104" s="65"/>
      <c r="P104" s="56"/>
      <c r="Q104" s="184"/>
      <c r="R104" s="184"/>
    </row>
    <row r="105" spans="1:18" s="185" customFormat="1" ht="33" hidden="1" customHeight="1" outlineLevel="2" thickBot="1">
      <c r="A105" s="314" t="s">
        <v>211</v>
      </c>
      <c r="B105" s="322" t="s">
        <v>113</v>
      </c>
      <c r="C105" s="323"/>
      <c r="D105" s="323"/>
      <c r="E105" s="323"/>
      <c r="F105" s="317" t="s">
        <v>114</v>
      </c>
      <c r="G105" s="317" t="s">
        <v>303</v>
      </c>
      <c r="H105" s="368">
        <f>IF(N105="да",Калькулятор!$E$9,O105)</f>
        <v>0</v>
      </c>
      <c r="I105" s="318">
        <v>1561.67</v>
      </c>
      <c r="J105" s="320">
        <v>3123.35</v>
      </c>
      <c r="K105" s="111">
        <f>ROUND(IF(VALUE(Калькулятор!$E$10)&gt;150,J105,I105),2)</f>
        <v>1561.67</v>
      </c>
      <c r="L105" s="56" t="str">
        <f t="shared" si="3"/>
        <v>0</v>
      </c>
      <c r="M105" s="65">
        <f>PRODUCT(VALUE(K105),IF(H105="",0,VALUE(H105)))</f>
        <v>0</v>
      </c>
      <c r="N105" s="366" t="s">
        <v>425</v>
      </c>
      <c r="O105" s="65"/>
      <c r="P105" s="56"/>
      <c r="Q105" s="184"/>
      <c r="R105" s="184"/>
    </row>
    <row r="106" spans="1:18" s="185" customFormat="1" ht="33" hidden="1" customHeight="1" outlineLevel="2" thickBot="1">
      <c r="A106" s="314" t="s">
        <v>212</v>
      </c>
      <c r="B106" s="322" t="s">
        <v>115</v>
      </c>
      <c r="C106" s="323"/>
      <c r="D106" s="323"/>
      <c r="E106" s="323"/>
      <c r="F106" s="317" t="s">
        <v>116</v>
      </c>
      <c r="G106" s="317" t="s">
        <v>309</v>
      </c>
      <c r="H106" s="368">
        <f>IF(N106="да",Калькулятор!$E$9,O106)</f>
        <v>0</v>
      </c>
      <c r="I106" s="318">
        <v>1086.3800000000001</v>
      </c>
      <c r="J106" s="320">
        <v>2172.7600000000002</v>
      </c>
      <c r="K106" s="111">
        <f>ROUND(IF(VALUE(Калькулятор!$E$10)&gt;150,J106,I106),2)</f>
        <v>1086.3800000000001</v>
      </c>
      <c r="L106" s="56" t="str">
        <f t="shared" si="3"/>
        <v>0</v>
      </c>
      <c r="M106" s="65">
        <f>PRODUCT(VALUE(K106),IF(H106="",0,VALUE(H106)))</f>
        <v>0</v>
      </c>
      <c r="N106" s="366" t="s">
        <v>425</v>
      </c>
      <c r="O106" s="65"/>
      <c r="P106" s="56"/>
      <c r="Q106" s="184"/>
      <c r="R106" s="184"/>
    </row>
    <row r="107" spans="1:18" s="185" customFormat="1" ht="33" hidden="1" customHeight="1" outlineLevel="2" thickBot="1">
      <c r="A107" s="314" t="s">
        <v>213</v>
      </c>
      <c r="B107" s="322" t="s">
        <v>117</v>
      </c>
      <c r="C107" s="323"/>
      <c r="D107" s="323"/>
      <c r="E107" s="323"/>
      <c r="F107" s="317" t="s">
        <v>118</v>
      </c>
      <c r="G107" s="317" t="s">
        <v>310</v>
      </c>
      <c r="H107" s="368">
        <f>IF(N107="да",Калькулятор!$E$9,O107)</f>
        <v>0</v>
      </c>
      <c r="I107" s="318">
        <v>892.66</v>
      </c>
      <c r="J107" s="320">
        <v>1785.32</v>
      </c>
      <c r="K107" s="111">
        <f>ROUND(IF(VALUE(Калькулятор!$E$10)&gt;150,J107,I107),2)</f>
        <v>892.66</v>
      </c>
      <c r="L107" s="56" t="str">
        <f t="shared" si="3"/>
        <v>0</v>
      </c>
      <c r="M107" s="65">
        <f>PRODUCT(VALUE(K107),IF(H107="",0,VALUE(H107)))</f>
        <v>0</v>
      </c>
      <c r="N107" s="366" t="s">
        <v>425</v>
      </c>
      <c r="O107" s="65"/>
      <c r="P107" s="56"/>
      <c r="Q107" s="184"/>
      <c r="R107" s="184"/>
    </row>
    <row r="108" spans="1:18" s="185" customFormat="1" ht="33" hidden="1" customHeight="1" outlineLevel="2" thickBot="1">
      <c r="A108" s="314" t="s">
        <v>214</v>
      </c>
      <c r="B108" s="322" t="s">
        <v>119</v>
      </c>
      <c r="C108" s="323"/>
      <c r="D108" s="323"/>
      <c r="E108" s="323"/>
      <c r="F108" s="317" t="s">
        <v>112</v>
      </c>
      <c r="G108" s="317" t="s">
        <v>311</v>
      </c>
      <c r="H108" s="368">
        <f>IF(N108="да",Калькулятор!$E$9,O108)</f>
        <v>0</v>
      </c>
      <c r="I108" s="318">
        <v>721.93</v>
      </c>
      <c r="J108" s="321">
        <v>1443.86</v>
      </c>
      <c r="K108" s="111">
        <f>ROUND(IF(VALUE(Калькулятор!$E$10)&gt;150,J108,I108),2)</f>
        <v>721.93</v>
      </c>
      <c r="L108" s="56" t="str">
        <f t="shared" si="3"/>
        <v>0</v>
      </c>
      <c r="M108" s="65">
        <f>PRODUCT(VALUE(K108),IF(H108="",0,VALUE(H108)))</f>
        <v>0</v>
      </c>
      <c r="N108" s="366" t="s">
        <v>425</v>
      </c>
      <c r="O108" s="65"/>
      <c r="P108" s="56"/>
      <c r="Q108" s="184"/>
      <c r="R108" s="184"/>
    </row>
    <row r="109" spans="1:18" s="185" customFormat="1" ht="33" customHeight="1" outlineLevel="1" collapsed="1" thickBot="1">
      <c r="A109" s="264" t="s">
        <v>305</v>
      </c>
      <c r="B109" s="609" t="s">
        <v>315</v>
      </c>
      <c r="C109" s="610"/>
      <c r="D109" s="610"/>
      <c r="E109" s="610"/>
      <c r="F109" s="610"/>
      <c r="G109" s="610"/>
      <c r="H109" s="212"/>
      <c r="I109" s="212"/>
      <c r="J109" s="213"/>
      <c r="K109" s="112" t="s">
        <v>241</v>
      </c>
      <c r="L109" s="56" t="str">
        <f t="shared" si="3"/>
        <v/>
      </c>
      <c r="M109" s="65"/>
      <c r="N109" s="366"/>
      <c r="O109" s="65"/>
      <c r="P109" s="56"/>
      <c r="Q109" s="184"/>
      <c r="R109" s="184"/>
    </row>
    <row r="110" spans="1:18" s="185" customFormat="1" ht="33" hidden="1" customHeight="1" outlineLevel="2" thickBot="1">
      <c r="A110" s="314" t="s">
        <v>215</v>
      </c>
      <c r="B110" s="322" t="s">
        <v>120</v>
      </c>
      <c r="C110" s="323"/>
      <c r="D110" s="323"/>
      <c r="E110" s="323"/>
      <c r="F110" s="317" t="s">
        <v>121</v>
      </c>
      <c r="G110" s="317" t="s">
        <v>303</v>
      </c>
      <c r="H110" s="368">
        <f>IF(N110="да",Калькулятор!$E$9,O110)</f>
        <v>0</v>
      </c>
      <c r="I110" s="318">
        <v>2386.21</v>
      </c>
      <c r="J110" s="319">
        <v>4772.43</v>
      </c>
      <c r="K110" s="111">
        <f>ROUND(IF(VALUE(Калькулятор!$E$10)&gt;150,J110,I110),2)</f>
        <v>2386.21</v>
      </c>
      <c r="L110" s="56" t="str">
        <f t="shared" si="3"/>
        <v>0</v>
      </c>
      <c r="M110" s="65">
        <f t="shared" ref="M110:M117" si="6">PRODUCT(VALUE(K110),IF(H110="",0,VALUE(H110)))</f>
        <v>0</v>
      </c>
      <c r="N110" s="366" t="s">
        <v>425</v>
      </c>
      <c r="O110" s="65"/>
      <c r="P110" s="56"/>
      <c r="Q110" s="184"/>
      <c r="R110" s="184"/>
    </row>
    <row r="111" spans="1:18" s="185" customFormat="1" ht="33" hidden="1" customHeight="1" outlineLevel="2" thickBot="1">
      <c r="A111" s="314" t="s">
        <v>216</v>
      </c>
      <c r="B111" s="322" t="s">
        <v>122</v>
      </c>
      <c r="C111" s="323"/>
      <c r="D111" s="323"/>
      <c r="E111" s="323"/>
      <c r="F111" s="317" t="s">
        <v>121</v>
      </c>
      <c r="G111" s="317" t="s">
        <v>303</v>
      </c>
      <c r="H111" s="368">
        <f>IF(N111="да",Калькулятор!$E$9,O111)</f>
        <v>0</v>
      </c>
      <c r="I111" s="318">
        <v>2898.49</v>
      </c>
      <c r="J111" s="320">
        <v>5796.98</v>
      </c>
      <c r="K111" s="111">
        <f>ROUND(IF(VALUE(Калькулятор!$E$10)&gt;150,J111,I111),2)</f>
        <v>2898.49</v>
      </c>
      <c r="L111" s="56" t="str">
        <f t="shared" si="3"/>
        <v>0</v>
      </c>
      <c r="M111" s="65">
        <f t="shared" si="6"/>
        <v>0</v>
      </c>
      <c r="N111" s="366" t="s">
        <v>425</v>
      </c>
      <c r="O111" s="65"/>
      <c r="P111" s="56"/>
      <c r="Q111" s="184"/>
      <c r="R111" s="184"/>
    </row>
    <row r="112" spans="1:18" s="185" customFormat="1" ht="33" hidden="1" customHeight="1" outlineLevel="2" thickBot="1">
      <c r="A112" s="314" t="s">
        <v>217</v>
      </c>
      <c r="B112" s="322" t="s">
        <v>123</v>
      </c>
      <c r="C112" s="323"/>
      <c r="D112" s="323"/>
      <c r="E112" s="323"/>
      <c r="F112" s="317" t="s">
        <v>124</v>
      </c>
      <c r="G112" s="317" t="s">
        <v>303</v>
      </c>
      <c r="H112" s="368">
        <f>IF(N112="да",Калькулятор!$E$9,O112)</f>
        <v>0</v>
      </c>
      <c r="I112" s="318">
        <v>3179.71</v>
      </c>
      <c r="J112" s="320">
        <v>6359.42</v>
      </c>
      <c r="K112" s="111">
        <f>ROUND(IF(VALUE(Калькулятор!$E$10)&gt;150,J112,I112),2)</f>
        <v>3179.71</v>
      </c>
      <c r="L112" s="56" t="str">
        <f t="shared" si="3"/>
        <v>0</v>
      </c>
      <c r="M112" s="65">
        <f t="shared" si="6"/>
        <v>0</v>
      </c>
      <c r="N112" s="366" t="s">
        <v>425</v>
      </c>
      <c r="O112" s="65"/>
      <c r="P112" s="56"/>
      <c r="Q112" s="184"/>
      <c r="R112" s="184"/>
    </row>
    <row r="113" spans="1:18" s="185" customFormat="1" ht="33" hidden="1" customHeight="1" outlineLevel="2" thickBot="1">
      <c r="A113" s="314" t="s">
        <v>218</v>
      </c>
      <c r="B113" s="322" t="s">
        <v>125</v>
      </c>
      <c r="C113" s="323"/>
      <c r="D113" s="323"/>
      <c r="E113" s="323"/>
      <c r="F113" s="317" t="s">
        <v>121</v>
      </c>
      <c r="G113" s="317" t="s">
        <v>309</v>
      </c>
      <c r="H113" s="368">
        <f>IF(N113="да",Калькулятор!$E$9,O113)</f>
        <v>0</v>
      </c>
      <c r="I113" s="318">
        <v>1528.27</v>
      </c>
      <c r="J113" s="320">
        <v>3056.54</v>
      </c>
      <c r="K113" s="111">
        <f>ROUND(IF(VALUE(Калькулятор!$E$10)&gt;150,J113,I113),2)</f>
        <v>1528.27</v>
      </c>
      <c r="L113" s="56" t="str">
        <f t="shared" si="3"/>
        <v>0</v>
      </c>
      <c r="M113" s="65">
        <f t="shared" si="6"/>
        <v>0</v>
      </c>
      <c r="N113" s="366" t="s">
        <v>425</v>
      </c>
      <c r="O113" s="65"/>
      <c r="P113" s="56"/>
      <c r="Q113" s="184"/>
      <c r="R113" s="184"/>
    </row>
    <row r="114" spans="1:18" s="185" customFormat="1" ht="33" hidden="1" customHeight="1" outlineLevel="2" thickBot="1">
      <c r="A114" s="314" t="s">
        <v>219</v>
      </c>
      <c r="B114" s="322" t="s">
        <v>126</v>
      </c>
      <c r="C114" s="323"/>
      <c r="D114" s="323"/>
      <c r="E114" s="323"/>
      <c r="F114" s="317" t="s">
        <v>121</v>
      </c>
      <c r="G114" s="317" t="s">
        <v>309</v>
      </c>
      <c r="H114" s="368">
        <f>IF(N114="да",Калькулятор!$E$9,O114)</f>
        <v>0</v>
      </c>
      <c r="I114" s="318">
        <v>1851.52</v>
      </c>
      <c r="J114" s="320">
        <v>3703.04</v>
      </c>
      <c r="K114" s="111">
        <f>ROUND(IF(VALUE(Калькулятор!$E$10)&gt;150,J114,I114),2)</f>
        <v>1851.52</v>
      </c>
      <c r="L114" s="56" t="str">
        <f t="shared" si="3"/>
        <v>0</v>
      </c>
      <c r="M114" s="65">
        <f t="shared" si="6"/>
        <v>0</v>
      </c>
      <c r="N114" s="366" t="s">
        <v>425</v>
      </c>
      <c r="O114" s="65"/>
      <c r="P114" s="56"/>
      <c r="Q114" s="184"/>
      <c r="R114" s="184"/>
    </row>
    <row r="115" spans="1:18" s="185" customFormat="1" ht="33" hidden="1" customHeight="1" outlineLevel="2" thickBot="1">
      <c r="A115" s="314" t="s">
        <v>220</v>
      </c>
      <c r="B115" s="322" t="s">
        <v>127</v>
      </c>
      <c r="C115" s="323"/>
      <c r="D115" s="323"/>
      <c r="E115" s="323"/>
      <c r="F115" s="317" t="s">
        <v>124</v>
      </c>
      <c r="G115" s="317" t="s">
        <v>309</v>
      </c>
      <c r="H115" s="368">
        <f>IF(N115="да",Калькулятор!$E$9,O115)</f>
        <v>0</v>
      </c>
      <c r="I115" s="318">
        <v>2030.77</v>
      </c>
      <c r="J115" s="320">
        <v>4061.54</v>
      </c>
      <c r="K115" s="111">
        <f>ROUND(IF(VALUE(Калькулятор!$E$10)&gt;150,J115,I115),2)</f>
        <v>2030.77</v>
      </c>
      <c r="L115" s="56" t="str">
        <f t="shared" si="3"/>
        <v>0</v>
      </c>
      <c r="M115" s="65">
        <f t="shared" si="6"/>
        <v>0</v>
      </c>
      <c r="N115" s="366" t="s">
        <v>425</v>
      </c>
      <c r="O115" s="65"/>
      <c r="P115" s="56"/>
      <c r="Q115" s="184"/>
      <c r="R115" s="184"/>
    </row>
    <row r="116" spans="1:18" s="185" customFormat="1" ht="33" hidden="1" customHeight="1" outlineLevel="2" thickBot="1">
      <c r="A116" s="314" t="s">
        <v>221</v>
      </c>
      <c r="B116" s="322" t="s">
        <v>128</v>
      </c>
      <c r="C116" s="323"/>
      <c r="D116" s="323"/>
      <c r="E116" s="323"/>
      <c r="F116" s="317" t="s">
        <v>124</v>
      </c>
      <c r="G116" s="317" t="s">
        <v>311</v>
      </c>
      <c r="H116" s="368">
        <f>IF(N116="да",Калькулятор!$E$9,O116)</f>
        <v>0</v>
      </c>
      <c r="I116" s="318">
        <v>1483.61</v>
      </c>
      <c r="J116" s="320">
        <v>2967.23</v>
      </c>
      <c r="K116" s="111">
        <f>ROUND(IF(VALUE(Калькулятор!$E$10)&gt;150,J116,I116),2)</f>
        <v>1483.61</v>
      </c>
      <c r="L116" s="56" t="str">
        <f t="shared" si="3"/>
        <v>0</v>
      </c>
      <c r="M116" s="65">
        <f t="shared" si="6"/>
        <v>0</v>
      </c>
      <c r="N116" s="366" t="s">
        <v>425</v>
      </c>
      <c r="O116" s="65"/>
      <c r="P116" s="56"/>
      <c r="Q116" s="184"/>
      <c r="R116" s="184"/>
    </row>
    <row r="117" spans="1:18" s="185" customFormat="1" ht="33" hidden="1" customHeight="1" outlineLevel="2" thickBot="1">
      <c r="A117" s="314" t="s">
        <v>222</v>
      </c>
      <c r="B117" s="322" t="s">
        <v>129</v>
      </c>
      <c r="C117" s="323"/>
      <c r="D117" s="323"/>
      <c r="E117" s="323"/>
      <c r="F117" s="317" t="s">
        <v>124</v>
      </c>
      <c r="G117" s="317" t="s">
        <v>311</v>
      </c>
      <c r="H117" s="368">
        <f>IF(N117="да",Калькулятор!$E$9,O117)</f>
        <v>0</v>
      </c>
      <c r="I117" s="318">
        <v>1848.04</v>
      </c>
      <c r="J117" s="321">
        <v>3696.08</v>
      </c>
      <c r="K117" s="111">
        <f>ROUND(IF(VALUE(Калькулятор!$E$10)&gt;150,J117,I117),2)</f>
        <v>1848.04</v>
      </c>
      <c r="L117" s="56" t="str">
        <f t="shared" si="3"/>
        <v>0</v>
      </c>
      <c r="M117" s="65">
        <f t="shared" si="6"/>
        <v>0</v>
      </c>
      <c r="N117" s="366" t="s">
        <v>425</v>
      </c>
      <c r="O117" s="65"/>
      <c r="P117" s="56"/>
      <c r="Q117" s="184"/>
      <c r="R117" s="184"/>
    </row>
    <row r="118" spans="1:18" s="185" customFormat="1" ht="33" customHeight="1" outlineLevel="1" collapsed="1" thickBot="1">
      <c r="A118" s="264" t="s">
        <v>306</v>
      </c>
      <c r="B118" s="609" t="s">
        <v>316</v>
      </c>
      <c r="C118" s="610"/>
      <c r="D118" s="610"/>
      <c r="E118" s="610"/>
      <c r="F118" s="610"/>
      <c r="G118" s="610"/>
      <c r="H118" s="212"/>
      <c r="I118" s="212"/>
      <c r="J118" s="213"/>
      <c r="K118" s="112" t="s">
        <v>241</v>
      </c>
      <c r="L118" s="56" t="str">
        <f t="shared" si="3"/>
        <v/>
      </c>
      <c r="M118" s="65"/>
      <c r="N118" s="366"/>
      <c r="O118" s="65"/>
      <c r="P118" s="56"/>
      <c r="Q118" s="184"/>
      <c r="R118" s="184"/>
    </row>
    <row r="119" spans="1:18" s="185" customFormat="1" ht="33" hidden="1" customHeight="1" outlineLevel="2" thickBot="1">
      <c r="A119" s="314" t="s">
        <v>223</v>
      </c>
      <c r="B119" s="322" t="s">
        <v>130</v>
      </c>
      <c r="C119" s="323"/>
      <c r="D119" s="323"/>
      <c r="E119" s="323"/>
      <c r="F119" s="317" t="s">
        <v>121</v>
      </c>
      <c r="G119" s="317" t="s">
        <v>303</v>
      </c>
      <c r="H119" s="368">
        <f>IF(N119="да",Калькулятор!$E$9,O119)</f>
        <v>0</v>
      </c>
      <c r="I119" s="318">
        <v>3674.88</v>
      </c>
      <c r="J119" s="319">
        <v>7349.76</v>
      </c>
      <c r="K119" s="111">
        <f>ROUND(IF(VALUE(Калькулятор!$E$10)&gt;150,J119,I119),2)</f>
        <v>3674.88</v>
      </c>
      <c r="L119" s="56" t="str">
        <f t="shared" si="3"/>
        <v>0</v>
      </c>
      <c r="M119" s="65">
        <f t="shared" ref="M119:M127" si="7">PRODUCT(VALUE(K119),IF(H119="",0,VALUE(H119)))</f>
        <v>0</v>
      </c>
      <c r="N119" s="366" t="s">
        <v>425</v>
      </c>
      <c r="O119" s="65"/>
      <c r="P119" s="56"/>
      <c r="Q119" s="184"/>
      <c r="R119" s="184"/>
    </row>
    <row r="120" spans="1:18" s="185" customFormat="1" ht="33" hidden="1" customHeight="1" outlineLevel="2" thickBot="1">
      <c r="A120" s="314" t="s">
        <v>224</v>
      </c>
      <c r="B120" s="322" t="s">
        <v>131</v>
      </c>
      <c r="C120" s="323"/>
      <c r="D120" s="323"/>
      <c r="E120" s="323"/>
      <c r="F120" s="317" t="s">
        <v>121</v>
      </c>
      <c r="G120" s="317" t="s">
        <v>303</v>
      </c>
      <c r="H120" s="368">
        <f>IF(N120="да",Калькулятор!$E$9,O120)</f>
        <v>0</v>
      </c>
      <c r="I120" s="318">
        <v>4980.66</v>
      </c>
      <c r="J120" s="320">
        <v>9961.31</v>
      </c>
      <c r="K120" s="111">
        <f>ROUND(IF(VALUE(Калькулятор!$E$10)&gt;150,J120,I120),2)</f>
        <v>4980.66</v>
      </c>
      <c r="L120" s="56" t="str">
        <f t="shared" si="3"/>
        <v>0</v>
      </c>
      <c r="M120" s="65">
        <f t="shared" si="7"/>
        <v>0</v>
      </c>
      <c r="N120" s="366" t="s">
        <v>425</v>
      </c>
      <c r="O120" s="65"/>
      <c r="P120" s="56"/>
      <c r="Q120" s="184"/>
      <c r="R120" s="184"/>
    </row>
    <row r="121" spans="1:18" s="185" customFormat="1" ht="33" hidden="1" customHeight="1" outlineLevel="2" thickBot="1">
      <c r="A121" s="314" t="s">
        <v>225</v>
      </c>
      <c r="B121" s="322" t="s">
        <v>132</v>
      </c>
      <c r="C121" s="323"/>
      <c r="D121" s="323"/>
      <c r="E121" s="323"/>
      <c r="F121" s="317" t="s">
        <v>124</v>
      </c>
      <c r="G121" s="317" t="s">
        <v>303</v>
      </c>
      <c r="H121" s="368">
        <f>IF(N121="да",Калькулятор!$E$9,O121)</f>
        <v>0</v>
      </c>
      <c r="I121" s="318">
        <v>6289.07</v>
      </c>
      <c r="J121" s="320">
        <v>12578.13</v>
      </c>
      <c r="K121" s="111">
        <f>ROUND(IF(VALUE(Калькулятор!$E$10)&gt;150,J121,I121),2)</f>
        <v>6289.07</v>
      </c>
      <c r="L121" s="56" t="str">
        <f t="shared" si="3"/>
        <v>0</v>
      </c>
      <c r="M121" s="65">
        <f t="shared" si="7"/>
        <v>0</v>
      </c>
      <c r="N121" s="366" t="s">
        <v>425</v>
      </c>
      <c r="O121" s="65"/>
      <c r="P121" s="56"/>
      <c r="Q121" s="184"/>
      <c r="R121" s="184"/>
    </row>
    <row r="122" spans="1:18" s="185" customFormat="1" ht="33" hidden="1" customHeight="1" outlineLevel="2" thickBot="1">
      <c r="A122" s="314" t="s">
        <v>226</v>
      </c>
      <c r="B122" s="322" t="s">
        <v>133</v>
      </c>
      <c r="C122" s="323"/>
      <c r="D122" s="323"/>
      <c r="E122" s="323"/>
      <c r="F122" s="317" t="s">
        <v>121</v>
      </c>
      <c r="G122" s="317" t="s">
        <v>309</v>
      </c>
      <c r="H122" s="368">
        <f>IF(N122="да",Калькулятор!$E$9,O122)</f>
        <v>0</v>
      </c>
      <c r="I122" s="318">
        <v>2348.4499999999998</v>
      </c>
      <c r="J122" s="320">
        <v>4696.8900000000003</v>
      </c>
      <c r="K122" s="111">
        <f>ROUND(IF(VALUE(Калькулятор!$E$10)&gt;150,J122,I122),2)</f>
        <v>2348.4499999999998</v>
      </c>
      <c r="L122" s="56" t="str">
        <f t="shared" si="3"/>
        <v>0</v>
      </c>
      <c r="M122" s="65">
        <f t="shared" si="7"/>
        <v>0</v>
      </c>
      <c r="N122" s="366" t="s">
        <v>425</v>
      </c>
      <c r="O122" s="65"/>
      <c r="P122" s="56"/>
      <c r="Q122" s="184"/>
      <c r="R122" s="184"/>
    </row>
    <row r="123" spans="1:18" s="185" customFormat="1" ht="33" hidden="1" customHeight="1" outlineLevel="2" thickBot="1">
      <c r="A123" s="314" t="s">
        <v>227</v>
      </c>
      <c r="B123" s="322" t="s">
        <v>134</v>
      </c>
      <c r="C123" s="323"/>
      <c r="D123" s="323"/>
      <c r="E123" s="323"/>
      <c r="F123" s="317" t="s">
        <v>121</v>
      </c>
      <c r="G123" s="317" t="s">
        <v>309</v>
      </c>
      <c r="H123" s="368">
        <f>IF(N123="да",Калькулятор!$E$9,O123)</f>
        <v>0</v>
      </c>
      <c r="I123" s="318">
        <v>3171.61</v>
      </c>
      <c r="J123" s="320">
        <v>6343.21</v>
      </c>
      <c r="K123" s="111">
        <f>ROUND(IF(VALUE(Калькулятор!$E$10)&gt;150,J123,I123),2)</f>
        <v>3171.61</v>
      </c>
      <c r="L123" s="56" t="str">
        <f t="shared" si="3"/>
        <v>0</v>
      </c>
      <c r="M123" s="65">
        <f t="shared" si="7"/>
        <v>0</v>
      </c>
      <c r="N123" s="366" t="s">
        <v>425</v>
      </c>
      <c r="O123" s="65"/>
      <c r="P123" s="56"/>
      <c r="Q123" s="184"/>
      <c r="R123" s="184"/>
    </row>
    <row r="124" spans="1:18" s="185" customFormat="1" ht="33" hidden="1" customHeight="1" outlineLevel="2" thickBot="1">
      <c r="A124" s="314" t="s">
        <v>228</v>
      </c>
      <c r="B124" s="322" t="s">
        <v>135</v>
      </c>
      <c r="C124" s="323"/>
      <c r="D124" s="323"/>
      <c r="E124" s="323"/>
      <c r="F124" s="317" t="s">
        <v>124</v>
      </c>
      <c r="G124" s="317" t="s">
        <v>309</v>
      </c>
      <c r="H124" s="368">
        <f>IF(N124="да",Калькулятор!$E$9,O124)</f>
        <v>0</v>
      </c>
      <c r="I124" s="318">
        <v>3961.82</v>
      </c>
      <c r="J124" s="320">
        <v>7923.63</v>
      </c>
      <c r="K124" s="111">
        <f>ROUND(IF(VALUE(Калькулятор!$E$10)&gt;150,J124,I124),2)</f>
        <v>3961.82</v>
      </c>
      <c r="L124" s="56" t="str">
        <f t="shared" si="3"/>
        <v>0</v>
      </c>
      <c r="M124" s="65">
        <f t="shared" si="7"/>
        <v>0</v>
      </c>
      <c r="N124" s="366" t="s">
        <v>425</v>
      </c>
      <c r="O124" s="65"/>
      <c r="P124" s="56"/>
      <c r="Q124" s="184"/>
      <c r="R124" s="184"/>
    </row>
    <row r="125" spans="1:18" s="185" customFormat="1" ht="33" hidden="1" customHeight="1" outlineLevel="2" thickBot="1">
      <c r="A125" s="314" t="s">
        <v>229</v>
      </c>
      <c r="B125" s="322" t="s">
        <v>136</v>
      </c>
      <c r="C125" s="323"/>
      <c r="D125" s="323"/>
      <c r="E125" s="323"/>
      <c r="F125" s="317" t="s">
        <v>124</v>
      </c>
      <c r="G125" s="317" t="s">
        <v>311</v>
      </c>
      <c r="H125" s="368">
        <f>IF(N125="да",Калькулятор!$E$9,O125)</f>
        <v>0</v>
      </c>
      <c r="I125" s="318">
        <v>1521.72</v>
      </c>
      <c r="J125" s="320">
        <v>3043.43</v>
      </c>
      <c r="K125" s="111">
        <f>ROUND(IF(VALUE(Калькулятор!$E$10)&gt;150,J125,I125),2)</f>
        <v>1521.72</v>
      </c>
      <c r="L125" s="56" t="str">
        <f t="shared" si="3"/>
        <v>0</v>
      </c>
      <c r="M125" s="65">
        <f t="shared" si="7"/>
        <v>0</v>
      </c>
      <c r="N125" s="366" t="s">
        <v>425</v>
      </c>
      <c r="O125" s="65"/>
      <c r="P125" s="56"/>
      <c r="Q125" s="184"/>
      <c r="R125" s="184"/>
    </row>
    <row r="126" spans="1:18" s="185" customFormat="1" ht="33" hidden="1" customHeight="1" outlineLevel="2" thickBot="1">
      <c r="A126" s="314" t="s">
        <v>230</v>
      </c>
      <c r="B126" s="322" t="s">
        <v>137</v>
      </c>
      <c r="C126" s="323"/>
      <c r="D126" s="323"/>
      <c r="E126" s="323"/>
      <c r="F126" s="317" t="s">
        <v>124</v>
      </c>
      <c r="G126" s="317" t="s">
        <v>311</v>
      </c>
      <c r="H126" s="368">
        <f>IF(N126="да",Калькулятор!$E$9,O126)</f>
        <v>0</v>
      </c>
      <c r="I126" s="318">
        <v>2036.72</v>
      </c>
      <c r="J126" s="320">
        <v>4073.44</v>
      </c>
      <c r="K126" s="111">
        <f>ROUND(IF(VALUE(Калькулятор!$E$10)&gt;150,J126,I126),2)</f>
        <v>2036.72</v>
      </c>
      <c r="L126" s="56" t="str">
        <f t="shared" si="3"/>
        <v>0</v>
      </c>
      <c r="M126" s="65">
        <f t="shared" si="7"/>
        <v>0</v>
      </c>
      <c r="N126" s="366" t="s">
        <v>425</v>
      </c>
      <c r="O126" s="65"/>
      <c r="P126" s="56"/>
      <c r="Q126" s="184"/>
      <c r="R126" s="184"/>
    </row>
    <row r="127" spans="1:18" s="185" customFormat="1" ht="33" hidden="1" customHeight="1" outlineLevel="2" thickBot="1">
      <c r="A127" s="314" t="s">
        <v>231</v>
      </c>
      <c r="B127" s="322" t="s">
        <v>138</v>
      </c>
      <c r="C127" s="323"/>
      <c r="D127" s="323"/>
      <c r="E127" s="323"/>
      <c r="F127" s="317" t="s">
        <v>124</v>
      </c>
      <c r="G127" s="317" t="s">
        <v>311</v>
      </c>
      <c r="H127" s="368">
        <f>IF(N127="да",Калькулятор!$E$9,O127)</f>
        <v>0</v>
      </c>
      <c r="I127" s="318">
        <v>2530.6</v>
      </c>
      <c r="J127" s="321">
        <v>5061.2</v>
      </c>
      <c r="K127" s="111">
        <f>ROUND(IF(VALUE(Калькулятор!$E$10)&gt;150,J127,I127),2)</f>
        <v>2530.6</v>
      </c>
      <c r="L127" s="56" t="str">
        <f t="shared" si="3"/>
        <v>0</v>
      </c>
      <c r="M127" s="65">
        <f t="shared" si="7"/>
        <v>0</v>
      </c>
      <c r="N127" s="366" t="s">
        <v>425</v>
      </c>
      <c r="O127" s="65"/>
      <c r="P127" s="56"/>
      <c r="Q127" s="184"/>
      <c r="R127" s="184"/>
    </row>
    <row r="128" spans="1:18" s="185" customFormat="1" ht="33" customHeight="1" outlineLevel="1" collapsed="1" thickBot="1">
      <c r="A128" s="264" t="s">
        <v>307</v>
      </c>
      <c r="B128" s="609" t="s">
        <v>139</v>
      </c>
      <c r="C128" s="610"/>
      <c r="D128" s="610"/>
      <c r="E128" s="610"/>
      <c r="F128" s="610"/>
      <c r="G128" s="610"/>
      <c r="H128" s="212"/>
      <c r="I128" s="212"/>
      <c r="J128" s="213"/>
      <c r="K128" s="112" t="s">
        <v>241</v>
      </c>
      <c r="L128" s="56" t="str">
        <f t="shared" si="3"/>
        <v/>
      </c>
      <c r="M128" s="65"/>
      <c r="N128" s="366"/>
      <c r="O128" s="65"/>
      <c r="P128" s="56"/>
      <c r="Q128" s="184"/>
      <c r="R128" s="184"/>
    </row>
    <row r="129" spans="1:18" s="185" customFormat="1" ht="33" hidden="1" customHeight="1" outlineLevel="2" thickBot="1">
      <c r="A129" s="314" t="s">
        <v>232</v>
      </c>
      <c r="B129" s="322" t="s">
        <v>140</v>
      </c>
      <c r="C129" s="323"/>
      <c r="D129" s="323"/>
      <c r="E129" s="323"/>
      <c r="F129" s="317" t="s">
        <v>141</v>
      </c>
      <c r="G129" s="317" t="s">
        <v>317</v>
      </c>
      <c r="H129" s="368">
        <f>IF(N129="да",Калькулятор!$E$9,O129)</f>
        <v>0</v>
      </c>
      <c r="I129" s="318">
        <v>1106.31</v>
      </c>
      <c r="J129" s="319">
        <v>2212.63</v>
      </c>
      <c r="K129" s="111">
        <f>ROUND(IF(VALUE(Калькулятор!$E$10)&gt;150,J129,I129),2)</f>
        <v>1106.31</v>
      </c>
      <c r="L129" s="56" t="str">
        <f t="shared" si="3"/>
        <v>0</v>
      </c>
      <c r="M129" s="65">
        <f>PRODUCT(VALUE(K129),IF(H129="",0,VALUE(H129)))</f>
        <v>0</v>
      </c>
      <c r="N129" s="366" t="s">
        <v>425</v>
      </c>
      <c r="O129" s="65"/>
      <c r="P129" s="56"/>
      <c r="Q129" s="184"/>
      <c r="R129" s="184"/>
    </row>
    <row r="130" spans="1:18" s="185" customFormat="1" ht="33" hidden="1" customHeight="1" outlineLevel="2" thickBot="1">
      <c r="A130" s="314" t="s">
        <v>233</v>
      </c>
      <c r="B130" s="322" t="s">
        <v>142</v>
      </c>
      <c r="C130" s="323"/>
      <c r="D130" s="323"/>
      <c r="E130" s="323"/>
      <c r="F130" s="317" t="s">
        <v>141</v>
      </c>
      <c r="G130" s="317" t="s">
        <v>318</v>
      </c>
      <c r="H130" s="368">
        <f>IF(N130="да",Калькулятор!$E$9,O130)</f>
        <v>0</v>
      </c>
      <c r="I130" s="318">
        <v>712.47</v>
      </c>
      <c r="J130" s="320">
        <v>1424.94</v>
      </c>
      <c r="K130" s="111">
        <f>ROUND(IF(VALUE(Калькулятор!$E$10)&gt;150,J130,I130),2)</f>
        <v>712.47</v>
      </c>
      <c r="L130" s="56" t="str">
        <f t="shared" si="3"/>
        <v>0</v>
      </c>
      <c r="M130" s="65">
        <f>PRODUCT(VALUE(K130),IF(H130="",0,VALUE(H130)))</f>
        <v>0</v>
      </c>
      <c r="N130" s="366" t="s">
        <v>425</v>
      </c>
      <c r="O130" s="65"/>
      <c r="P130" s="56"/>
      <c r="Q130" s="184"/>
      <c r="R130" s="184"/>
    </row>
    <row r="131" spans="1:18" s="185" customFormat="1" ht="33" hidden="1" customHeight="1" outlineLevel="2" thickBot="1">
      <c r="A131" s="314" t="s">
        <v>234</v>
      </c>
      <c r="B131" s="322" t="s">
        <v>143</v>
      </c>
      <c r="C131" s="323"/>
      <c r="D131" s="323"/>
      <c r="E131" s="323"/>
      <c r="F131" s="317" t="s">
        <v>141</v>
      </c>
      <c r="G131" s="317" t="s">
        <v>319</v>
      </c>
      <c r="H131" s="368">
        <f>IF(N131="да",Калькулятор!$E$9,O131)</f>
        <v>0</v>
      </c>
      <c r="I131" s="318">
        <v>488.36</v>
      </c>
      <c r="J131" s="320">
        <v>976.73</v>
      </c>
      <c r="K131" s="111">
        <f>ROUND(IF(VALUE(Калькулятор!$E$10)&gt;150,J131,I131),2)</f>
        <v>488.36</v>
      </c>
      <c r="L131" s="56" t="str">
        <f t="shared" si="3"/>
        <v>0</v>
      </c>
      <c r="M131" s="65">
        <f>PRODUCT(VALUE(K131),IF(H131="",0,VALUE(H131)))</f>
        <v>0</v>
      </c>
      <c r="N131" s="366" t="s">
        <v>425</v>
      </c>
      <c r="O131" s="65"/>
      <c r="P131" s="56"/>
      <c r="Q131" s="184"/>
      <c r="R131" s="184"/>
    </row>
    <row r="132" spans="1:18" s="185" customFormat="1" ht="33" hidden="1" customHeight="1" outlineLevel="2" thickBot="1">
      <c r="A132" s="314" t="s">
        <v>235</v>
      </c>
      <c r="B132" s="322" t="s">
        <v>144</v>
      </c>
      <c r="C132" s="323"/>
      <c r="D132" s="323"/>
      <c r="E132" s="323"/>
      <c r="F132" s="317" t="s">
        <v>141</v>
      </c>
      <c r="G132" s="317" t="s">
        <v>320</v>
      </c>
      <c r="H132" s="368">
        <f>IF(N132="да",Калькулятор!$E$9,O132)</f>
        <v>0</v>
      </c>
      <c r="I132" s="318">
        <v>334.64</v>
      </c>
      <c r="J132" s="320">
        <v>669.28</v>
      </c>
      <c r="K132" s="111">
        <f>ROUND(IF(VALUE(Калькулятор!$E$10)&gt;150,J132,I132),2)</f>
        <v>334.64</v>
      </c>
      <c r="L132" s="56" t="str">
        <f t="shared" si="3"/>
        <v>0</v>
      </c>
      <c r="M132" s="65">
        <f>PRODUCT(VALUE(K132),IF(H132="",0,VALUE(H132)))</f>
        <v>0</v>
      </c>
      <c r="N132" s="366" t="s">
        <v>425</v>
      </c>
      <c r="O132" s="65"/>
      <c r="P132" s="56"/>
      <c r="Q132" s="184"/>
      <c r="R132" s="184"/>
    </row>
    <row r="133" spans="1:18" s="185" customFormat="1" ht="33" hidden="1" customHeight="1" outlineLevel="2" thickBot="1">
      <c r="A133" s="314" t="s">
        <v>236</v>
      </c>
      <c r="B133" s="322" t="s">
        <v>145</v>
      </c>
      <c r="C133" s="323"/>
      <c r="D133" s="323"/>
      <c r="E133" s="323"/>
      <c r="F133" s="317" t="s">
        <v>141</v>
      </c>
      <c r="G133" s="317" t="s">
        <v>321</v>
      </c>
      <c r="H133" s="368">
        <f>IF(N133="да",Калькулятор!$E$9,O133)</f>
        <v>0</v>
      </c>
      <c r="I133" s="318">
        <v>227.42</v>
      </c>
      <c r="J133" s="321">
        <v>454.83</v>
      </c>
      <c r="K133" s="111">
        <f>ROUND(IF(VALUE(Калькулятор!$E$10)&gt;150,J133,I133),2)</f>
        <v>227.42</v>
      </c>
      <c r="L133" s="56" t="str">
        <f t="shared" si="3"/>
        <v>0</v>
      </c>
      <c r="M133" s="65">
        <f>PRODUCT(VALUE(K133),IF(H133="",0,VALUE(H133)))</f>
        <v>0</v>
      </c>
      <c r="N133" s="366" t="s">
        <v>425</v>
      </c>
      <c r="O133" s="65"/>
      <c r="P133" s="56"/>
      <c r="Q133" s="184"/>
      <c r="R133" s="184"/>
    </row>
    <row r="134" spans="1:18" s="185" customFormat="1" ht="33" customHeight="1" collapsed="1" thickBot="1">
      <c r="A134" s="252" t="s">
        <v>312</v>
      </c>
      <c r="B134" s="181" t="s">
        <v>331</v>
      </c>
      <c r="C134" s="182"/>
      <c r="D134" s="182"/>
      <c r="E134" s="182"/>
      <c r="F134" s="270" t="s">
        <v>241</v>
      </c>
      <c r="G134" s="196" t="s">
        <v>241</v>
      </c>
      <c r="H134" s="369" t="s">
        <v>335</v>
      </c>
      <c r="I134" s="253" t="s">
        <v>241</v>
      </c>
      <c r="J134" s="254"/>
      <c r="K134" s="183" t="s">
        <v>241</v>
      </c>
      <c r="L134" s="67" t="str">
        <f>IF(VALUE(T12)&gt;0,"да","нет")</f>
        <v>нет</v>
      </c>
      <c r="M134" s="65"/>
      <c r="N134" s="366"/>
      <c r="O134" s="65"/>
      <c r="P134" s="56"/>
      <c r="Q134" s="184"/>
      <c r="R134" s="184"/>
    </row>
    <row r="135" spans="1:18" s="185" customFormat="1" ht="34.5" hidden="1" customHeight="1" outlineLevel="1" thickBot="1">
      <c r="A135" s="324" t="s">
        <v>237</v>
      </c>
      <c r="B135" s="325" t="s">
        <v>146</v>
      </c>
      <c r="C135" s="326"/>
      <c r="D135" s="326"/>
      <c r="E135" s="326"/>
      <c r="F135" s="327" t="s">
        <v>147</v>
      </c>
      <c r="G135" s="327" t="s">
        <v>322</v>
      </c>
      <c r="H135" s="368">
        <f>IF(N135="да",Калькулятор!$E$9,O135)</f>
        <v>0</v>
      </c>
      <c r="I135" s="328">
        <v>390.83</v>
      </c>
      <c r="J135" s="329">
        <v>781.66</v>
      </c>
      <c r="K135" s="111">
        <f>ROUND(IF(VALUE(Калькулятор!$E$10)&gt;150,J135,I135),2)</f>
        <v>390.83</v>
      </c>
      <c r="L135" s="56" t="str">
        <f>CONCATENATE(H135)</f>
        <v>0</v>
      </c>
      <c r="M135" s="65">
        <f>PRODUCT(VALUE(K135),IF(H135="",0,VALUE(H135)))</f>
        <v>0</v>
      </c>
      <c r="N135" s="366" t="s">
        <v>425</v>
      </c>
      <c r="O135" s="65"/>
      <c r="P135" s="56"/>
      <c r="Q135" s="184"/>
      <c r="R135" s="184"/>
    </row>
    <row r="136" spans="1:18" s="185" customFormat="1" ht="34.5" hidden="1" customHeight="1" outlineLevel="1" thickBot="1">
      <c r="A136" s="324" t="s">
        <v>238</v>
      </c>
      <c r="B136" s="325" t="s">
        <v>384</v>
      </c>
      <c r="C136" s="326"/>
      <c r="D136" s="326"/>
      <c r="E136" s="326"/>
      <c r="F136" s="327" t="s">
        <v>147</v>
      </c>
      <c r="G136" s="327" t="s">
        <v>323</v>
      </c>
      <c r="H136" s="368">
        <f>IF(N136="да",Калькулятор!$E$9,O136)</f>
        <v>0</v>
      </c>
      <c r="I136" s="328">
        <v>443.49</v>
      </c>
      <c r="J136" s="330">
        <v>886.98</v>
      </c>
      <c r="K136" s="111">
        <f>ROUND(IF(VALUE(Калькулятор!$E$10)&gt;150,J136,I136),2)</f>
        <v>443.49</v>
      </c>
      <c r="L136" s="56" t="str">
        <f>CONCATENATE(H136)</f>
        <v>0</v>
      </c>
      <c r="M136" s="65">
        <f>PRODUCT(VALUE(K136),IF(H136="",0,VALUE(H136)))</f>
        <v>0</v>
      </c>
      <c r="N136" s="366" t="s">
        <v>425</v>
      </c>
      <c r="O136" s="65"/>
      <c r="P136" s="56"/>
      <c r="Q136" s="184"/>
      <c r="R136" s="184"/>
    </row>
    <row r="137" spans="1:18" s="185" customFormat="1" ht="36" hidden="1" customHeight="1" outlineLevel="1" thickBot="1">
      <c r="A137" s="324" t="s">
        <v>239</v>
      </c>
      <c r="B137" s="325" t="s">
        <v>385</v>
      </c>
      <c r="C137" s="326"/>
      <c r="D137" s="326"/>
      <c r="E137" s="326"/>
      <c r="F137" s="327" t="s">
        <v>147</v>
      </c>
      <c r="G137" s="327" t="s">
        <v>324</v>
      </c>
      <c r="H137" s="368">
        <f>IF(N137="да",Калькулятор!$E$9,O137)</f>
        <v>0</v>
      </c>
      <c r="I137" s="328">
        <v>503.19</v>
      </c>
      <c r="J137" s="331">
        <v>1006.37</v>
      </c>
      <c r="K137" s="111">
        <f>ROUND(IF(VALUE(Калькулятор!$E$10)&gt;150,J137,I137),2)</f>
        <v>503.19</v>
      </c>
      <c r="L137" s="56" t="str">
        <f>CONCATENATE(H137)</f>
        <v>0</v>
      </c>
      <c r="M137" s="65">
        <f>PRODUCT(VALUE(K137),IF(H137="",0,VALUE(H137)))</f>
        <v>0</v>
      </c>
      <c r="N137" s="366" t="s">
        <v>425</v>
      </c>
      <c r="O137" s="65"/>
      <c r="P137" s="56"/>
      <c r="Q137" s="184"/>
      <c r="R137" s="184"/>
    </row>
    <row r="138" spans="1:18" s="185" customFormat="1" ht="29.25" customHeight="1" collapsed="1" thickBot="1">
      <c r="A138" s="255" t="s">
        <v>314</v>
      </c>
      <c r="B138" s="186" t="s">
        <v>330</v>
      </c>
      <c r="C138" s="186"/>
      <c r="D138" s="186"/>
      <c r="E138" s="186"/>
      <c r="F138" s="197" t="s">
        <v>241</v>
      </c>
      <c r="G138" s="197" t="s">
        <v>241</v>
      </c>
      <c r="H138" s="244" t="s">
        <v>334</v>
      </c>
      <c r="I138" s="256" t="s">
        <v>241</v>
      </c>
      <c r="J138" s="257"/>
      <c r="K138" s="187" t="s">
        <v>241</v>
      </c>
      <c r="L138" s="67" t="str">
        <f>IF(VALUE(T14)&gt;0,"да","нет")</f>
        <v>нет</v>
      </c>
      <c r="M138" s="65"/>
      <c r="N138" s="366"/>
      <c r="O138" s="65"/>
      <c r="P138" s="56"/>
      <c r="Q138" s="184"/>
      <c r="R138" s="184"/>
    </row>
    <row r="139" spans="1:18" s="185" customFormat="1" ht="38.25" hidden="1" customHeight="1" outlineLevel="1" thickBot="1">
      <c r="A139" s="295" t="s">
        <v>240</v>
      </c>
      <c r="B139" s="296" t="s">
        <v>386</v>
      </c>
      <c r="C139" s="302"/>
      <c r="D139" s="302"/>
      <c r="E139" s="302"/>
      <c r="F139" s="304" t="s">
        <v>325</v>
      </c>
      <c r="G139" s="304" t="s">
        <v>326</v>
      </c>
      <c r="H139" s="368">
        <f>IF(N139="да",Калькулятор!$E$9,O139)</f>
        <v>0</v>
      </c>
      <c r="I139" s="300">
        <v>25.7</v>
      </c>
      <c r="J139" s="301">
        <v>51.39</v>
      </c>
      <c r="K139" s="111">
        <f>ROUND(IF(VALUE(Калькулятор!$E$10)&gt;150,J139,I139),2)</f>
        <v>25.7</v>
      </c>
      <c r="L139" s="56" t="str">
        <f>CONCATENATE(H139)</f>
        <v>0</v>
      </c>
      <c r="M139" s="65">
        <f>PRODUCT(VALUE(K139),IF(H139="",0,VALUE(H139)))</f>
        <v>0</v>
      </c>
      <c r="N139" s="366" t="s">
        <v>425</v>
      </c>
      <c r="O139" s="65"/>
      <c r="P139" s="56"/>
      <c r="Q139" s="184"/>
      <c r="R139" s="184"/>
    </row>
    <row r="140" spans="1:18">
      <c r="B140" s="202"/>
      <c r="C140" s="63"/>
      <c r="D140" s="63"/>
      <c r="E140" s="63"/>
      <c r="F140" s="198"/>
      <c r="G140" s="198"/>
      <c r="H140" s="45"/>
      <c r="I140" s="59"/>
      <c r="J140" s="59"/>
      <c r="K140" s="116"/>
    </row>
    <row r="141" spans="1:18" ht="20.25" customHeight="1">
      <c r="B141" s="203"/>
      <c r="C141" s="64"/>
      <c r="D141" s="64"/>
      <c r="E141" s="64"/>
      <c r="F141" s="271"/>
      <c r="G141" s="199"/>
      <c r="H141" s="46"/>
      <c r="I141" s="60"/>
      <c r="J141" s="60"/>
      <c r="K141" s="117"/>
    </row>
    <row r="142" spans="1:18">
      <c r="B142" s="202"/>
      <c r="C142" s="63"/>
      <c r="D142" s="63"/>
      <c r="E142" s="63"/>
      <c r="F142" s="198"/>
      <c r="G142" s="198"/>
      <c r="H142" s="45"/>
      <c r="I142" s="59"/>
      <c r="J142" s="59"/>
      <c r="K142" s="116"/>
    </row>
    <row r="143" spans="1:18">
      <c r="P143" s="75"/>
    </row>
    <row r="147" spans="17:17">
      <c r="Q147" s="74"/>
    </row>
  </sheetData>
  <mergeCells count="31">
    <mergeCell ref="B109:G109"/>
    <mergeCell ref="B118:G118"/>
    <mergeCell ref="B128:G128"/>
    <mergeCell ref="B46:G46"/>
    <mergeCell ref="B59:G59"/>
    <mergeCell ref="B73:G73"/>
    <mergeCell ref="B85:G85"/>
    <mergeCell ref="B97:G97"/>
    <mergeCell ref="B103:G103"/>
    <mergeCell ref="B40:G40"/>
    <mergeCell ref="K5:K7"/>
    <mergeCell ref="I6:I7"/>
    <mergeCell ref="J6:J7"/>
    <mergeCell ref="B9:J10"/>
    <mergeCell ref="B12:G12"/>
    <mergeCell ref="B13:G13"/>
    <mergeCell ref="B19:G19"/>
    <mergeCell ref="B25:G25"/>
    <mergeCell ref="B29:G29"/>
    <mergeCell ref="B30:G30"/>
    <mergeCell ref="B35:G35"/>
    <mergeCell ref="A1:J3"/>
    <mergeCell ref="A5:A7"/>
    <mergeCell ref="B5:B7"/>
    <mergeCell ref="C5:C7"/>
    <mergeCell ref="D5:D7"/>
    <mergeCell ref="E5:E7"/>
    <mergeCell ref="F5:F7"/>
    <mergeCell ref="G5:G7"/>
    <mergeCell ref="H5:H7"/>
    <mergeCell ref="I5:J5"/>
  </mergeCells>
  <pageMargins left="0.7" right="0.7" top="0.75" bottom="0.75" header="0.3" footer="0.3"/>
  <pageSetup paperSize="9" orientation="portrait" r:id="rId1"/>
  <legacyDrawing r:id="rId2"/>
  <controls>
    <control shapeId="4154" r:id="rId3" name="ComboBox58"/>
    <control shapeId="4153" r:id="rId4" name="ComboBox57"/>
    <control shapeId="4152" r:id="rId5" name="ComboBox56"/>
    <control shapeId="4151" r:id="rId6" name="ComboBox55"/>
    <control shapeId="4150" r:id="rId7" name="ComboBox54"/>
    <control shapeId="4149" r:id="rId8" name="ComboBox53"/>
    <control shapeId="4148" r:id="rId9" name="ComboBox52"/>
    <control shapeId="4147" r:id="rId10" name="ComboBox51"/>
    <control shapeId="4146" r:id="rId11" name="ComboBox50"/>
    <control shapeId="4145" r:id="rId12" name="ComboBox49"/>
    <control shapeId="4144" r:id="rId13" name="ComboBox48"/>
    <control shapeId="4143" r:id="rId14" name="ComboBox47"/>
    <control shapeId="4142" r:id="rId15" name="ComboBox46"/>
    <control shapeId="4141" r:id="rId16" name="ComboBox45"/>
    <control shapeId="4140" r:id="rId17" name="ComboBox44"/>
    <control shapeId="4139" r:id="rId18" name="ComboBox43"/>
    <control shapeId="4138" r:id="rId19" name="ComboBox42"/>
    <control shapeId="4137" r:id="rId20" name="ComboBox41"/>
    <control shapeId="4136" r:id="rId21" name="ComboBox40"/>
    <control shapeId="4135" r:id="rId22" name="ComboBox39"/>
    <control shapeId="4134" r:id="rId23" name="ComboBox38"/>
    <control shapeId="4133" r:id="rId24" name="ComboBox37"/>
    <control shapeId="4132" r:id="rId25" name="ComboBox36"/>
    <control shapeId="4131" r:id="rId26" name="ComboBox35"/>
    <control shapeId="4130" r:id="rId27" name="ComboBox34"/>
    <control shapeId="4129" r:id="rId28" name="ComboBox33"/>
    <control shapeId="4128" r:id="rId29" name="ComboBox32"/>
    <control shapeId="4127" r:id="rId30" name="ComboBox31"/>
    <control shapeId="4126" r:id="rId31" name="ComboBox30"/>
    <control shapeId="4125" r:id="rId32" name="ComboBox29"/>
    <control shapeId="4124" r:id="rId33" name="ComboBox28"/>
    <control shapeId="4123" r:id="rId34" name="ComboBox27"/>
    <control shapeId="4122" r:id="rId35" name="ComboBox26"/>
    <control shapeId="4121" r:id="rId36" name="ComboBox25"/>
    <control shapeId="4120" r:id="rId37" name="ComboBox24"/>
    <control shapeId="4119" r:id="rId38" name="ComboBox23"/>
    <control shapeId="4118" r:id="rId39" name="ComboBox22"/>
    <control shapeId="4117" r:id="rId40" name="ComboBox21"/>
    <control shapeId="4116" r:id="rId41" name="ComboBox20"/>
    <control shapeId="4115" r:id="rId42" name="ComboBox19"/>
    <control shapeId="4114" r:id="rId43" name="ComboBox18"/>
    <control shapeId="4113" r:id="rId44" name="ComboBox17"/>
    <control shapeId="4112" r:id="rId45" name="ComboBox16"/>
    <control shapeId="4111" r:id="rId46" name="ComboBox15"/>
    <control shapeId="4110" r:id="rId47" name="ComboBox14"/>
    <control shapeId="4109" r:id="rId48" name="ComboBox13"/>
    <control shapeId="4108" r:id="rId49" name="ComboBox12"/>
    <control shapeId="4107" r:id="rId50" name="ComboBox11"/>
    <control shapeId="4106" r:id="rId51" name="ComboBox10"/>
    <control shapeId="4105" r:id="rId52" name="ComboBox9"/>
    <control shapeId="4104" r:id="rId53" name="ComboBox8"/>
    <control shapeId="4103" r:id="rId54" name="ComboBox7"/>
    <control shapeId="4102" r:id="rId55" name="ComboBox6"/>
    <control shapeId="4101" r:id="rId56" name="ComboBox5"/>
    <control shapeId="4100" r:id="rId57" name="ComboBox4"/>
    <control shapeId="4099" r:id="rId58" name="ComboBox3"/>
    <control shapeId="4098" r:id="rId59" name="ComboBox2"/>
    <control shapeId="4097" r:id="rId60" name="ComboBox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20</vt:i4>
      </vt:variant>
    </vt:vector>
  </HeadingPairs>
  <TitlesOfParts>
    <vt:vector size="24" baseType="lpstr">
      <vt:lpstr>Калькулятор</vt:lpstr>
      <vt:lpstr>Калькулятор (2)</vt:lpstr>
      <vt:lpstr>Данные для расчета</vt:lpstr>
      <vt:lpstr>Данные для расчета (2)</vt:lpstr>
      <vt:lpstr>Калькулятор!Область_печати</vt:lpstr>
      <vt:lpstr>'Калькулятор (2)'!Область_печати</vt:lpstr>
      <vt:lpstr>'Данные для расчета (2)'!Тарифы</vt:lpstr>
      <vt:lpstr>Тарифы</vt:lpstr>
      <vt:lpstr>'Данные для расчета (2)'!Тарифы2</vt:lpstr>
      <vt:lpstr>Тарифы2</vt:lpstr>
      <vt:lpstr>'Данные для расчета (2)'!Товары</vt:lpstr>
      <vt:lpstr>Товары</vt:lpstr>
      <vt:lpstr>'Данные для расчета (2)'!Товары11</vt:lpstr>
      <vt:lpstr>Товары11</vt:lpstr>
      <vt:lpstr>'Данные для расчета (2)'!Товары12</vt:lpstr>
      <vt:lpstr>Товары12</vt:lpstr>
      <vt:lpstr>'Данные для расчета (2)'!ЦенаВывод</vt:lpstr>
      <vt:lpstr>ЦенаВывод</vt:lpstr>
      <vt:lpstr>'Данные для расчета (2)'!Цены</vt:lpstr>
      <vt:lpstr>Цены</vt:lpstr>
      <vt:lpstr>'Данные для расчета (2)'!Цены1</vt:lpstr>
      <vt:lpstr>Цены1</vt:lpstr>
      <vt:lpstr>'Данные для расчета (2)'!ЦеныКол</vt:lpstr>
      <vt:lpstr>ЦеныКол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StasyukMA</dc:creator>
  <cp:lastModifiedBy>Дворянинов</cp:lastModifiedBy>
  <cp:lastPrinted>2016-11-23T04:14:48Z</cp:lastPrinted>
  <dcterms:created xsi:type="dcterms:W3CDTF">2013-06-07T03:35:26Z</dcterms:created>
  <dcterms:modified xsi:type="dcterms:W3CDTF">2017-04-14T09:29:52Z</dcterms:modified>
</cp:coreProperties>
</file>