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org">[1]Титульный!$G$15</definedName>
    <definedName name="ва">[2]Титульный!$G$15</definedName>
  </definedNames>
  <calcPr calcId="125725"/>
</workbook>
</file>

<file path=xl/calcChain.xml><?xml version="1.0" encoding="utf-8"?>
<calcChain xmlns="http://schemas.openxmlformats.org/spreadsheetml/2006/main">
  <c r="K156" i="5"/>
  <c r="J156"/>
  <c r="I150" l="1"/>
  <c r="K147"/>
  <c r="K151" s="1"/>
  <c r="J147"/>
  <c r="J151" s="1"/>
  <c r="H147"/>
  <c r="H151" s="1"/>
  <c r="I146"/>
  <c r="I144" s="1"/>
  <c r="G145"/>
  <c r="G142"/>
  <c r="K141"/>
  <c r="J141"/>
  <c r="H141"/>
  <c r="I140"/>
  <c r="G139"/>
  <c r="G138"/>
  <c r="G137"/>
  <c r="G136"/>
  <c r="G135"/>
  <c r="G134"/>
  <c r="K133"/>
  <c r="J133"/>
  <c r="I133"/>
  <c r="H133"/>
  <c r="G132"/>
  <c r="G131"/>
  <c r="K130"/>
  <c r="J130"/>
  <c r="I130"/>
  <c r="H130"/>
  <c r="G129"/>
  <c r="G128"/>
  <c r="K127"/>
  <c r="J127"/>
  <c r="J126" s="1"/>
  <c r="J124" s="1"/>
  <c r="I127"/>
  <c r="H127"/>
  <c r="G125"/>
  <c r="G121"/>
  <c r="K120"/>
  <c r="J120"/>
  <c r="H120"/>
  <c r="I119"/>
  <c r="I117" s="1"/>
  <c r="G118"/>
  <c r="G115"/>
  <c r="G114"/>
  <c r="G113"/>
  <c r="I110"/>
  <c r="G108"/>
  <c r="G106"/>
  <c r="G105"/>
  <c r="D101"/>
  <c r="D100"/>
  <c r="D99"/>
  <c r="I97"/>
  <c r="I91" s="1"/>
  <c r="H97"/>
  <c r="G96"/>
  <c r="G93"/>
  <c r="G92"/>
  <c r="G90"/>
  <c r="G89"/>
  <c r="G87"/>
  <c r="J85"/>
  <c r="I85"/>
  <c r="H85"/>
  <c r="D83"/>
  <c r="D82"/>
  <c r="D81"/>
  <c r="D80"/>
  <c r="D79"/>
  <c r="I77"/>
  <c r="D75"/>
  <c r="D74"/>
  <c r="D73"/>
  <c r="D72"/>
  <c r="I70"/>
  <c r="H70"/>
  <c r="K67"/>
  <c r="J67"/>
  <c r="I67"/>
  <c r="H67"/>
  <c r="G66"/>
  <c r="I60"/>
  <c r="K59"/>
  <c r="K109" s="1"/>
  <c r="K107" s="1"/>
  <c r="K110" s="1"/>
  <c r="J59"/>
  <c r="J109" s="1"/>
  <c r="J107" s="1"/>
  <c r="J110" s="1"/>
  <c r="H59"/>
  <c r="H109" s="1"/>
  <c r="G58"/>
  <c r="K57"/>
  <c r="K60" s="1"/>
  <c r="G56"/>
  <c r="G55"/>
  <c r="K53"/>
  <c r="K103" s="1"/>
  <c r="J53"/>
  <c r="J103" s="1"/>
  <c r="J51"/>
  <c r="J101" s="1"/>
  <c r="G101" s="1"/>
  <c r="D51"/>
  <c r="K50"/>
  <c r="K100" s="1"/>
  <c r="J50"/>
  <c r="J100" s="1"/>
  <c r="D50"/>
  <c r="K49"/>
  <c r="K99" s="1"/>
  <c r="J49"/>
  <c r="J99" s="1"/>
  <c r="D49"/>
  <c r="I47"/>
  <c r="I41" s="1"/>
  <c r="H47"/>
  <c r="G46"/>
  <c r="K45"/>
  <c r="K95" s="1"/>
  <c r="K94" s="1"/>
  <c r="J45"/>
  <c r="J95" s="1"/>
  <c r="J94" s="1"/>
  <c r="H45"/>
  <c r="H95" s="1"/>
  <c r="G43"/>
  <c r="G42"/>
  <c r="G40"/>
  <c r="G39"/>
  <c r="G37"/>
  <c r="J35"/>
  <c r="I35"/>
  <c r="H35"/>
  <c r="J33"/>
  <c r="J83" s="1"/>
  <c r="G83" s="1"/>
  <c r="D33"/>
  <c r="H32"/>
  <c r="H82" s="1"/>
  <c r="G82" s="1"/>
  <c r="D32"/>
  <c r="J31"/>
  <c r="J81" s="1"/>
  <c r="H31"/>
  <c r="H81" s="1"/>
  <c r="D31"/>
  <c r="J30"/>
  <c r="J80" s="1"/>
  <c r="G80" s="1"/>
  <c r="D30"/>
  <c r="K29"/>
  <c r="K79" s="1"/>
  <c r="K77" s="1"/>
  <c r="J29"/>
  <c r="J79" s="1"/>
  <c r="H29"/>
  <c r="H79" s="1"/>
  <c r="D29"/>
  <c r="I27"/>
  <c r="K25"/>
  <c r="K75" s="1"/>
  <c r="G75" s="1"/>
  <c r="D25"/>
  <c r="K24"/>
  <c r="K74" s="1"/>
  <c r="D24"/>
  <c r="J23"/>
  <c r="J73" s="1"/>
  <c r="G73" s="1"/>
  <c r="D23"/>
  <c r="J22"/>
  <c r="J72" s="1"/>
  <c r="D22"/>
  <c r="I20"/>
  <c r="H20"/>
  <c r="K17"/>
  <c r="J17"/>
  <c r="I17"/>
  <c r="H17"/>
  <c r="G16"/>
  <c r="I15" l="1"/>
  <c r="I63" s="1"/>
  <c r="I126"/>
  <c r="I124" s="1"/>
  <c r="I123" s="1"/>
  <c r="G130"/>
  <c r="G133"/>
  <c r="K126"/>
  <c r="K124" s="1"/>
  <c r="G120"/>
  <c r="J44"/>
  <c r="G81"/>
  <c r="K27"/>
  <c r="H44"/>
  <c r="G25"/>
  <c r="K44"/>
  <c r="G100"/>
  <c r="G103"/>
  <c r="H57"/>
  <c r="H60" s="1"/>
  <c r="K47"/>
  <c r="G17"/>
  <c r="J77"/>
  <c r="J47"/>
  <c r="J41" s="1"/>
  <c r="J143" s="1"/>
  <c r="J140" s="1"/>
  <c r="J123" s="1"/>
  <c r="K97"/>
  <c r="K91" s="1"/>
  <c r="G127"/>
  <c r="G141"/>
  <c r="G67"/>
  <c r="J20"/>
  <c r="G23"/>
  <c r="G31"/>
  <c r="G32"/>
  <c r="G45"/>
  <c r="G109"/>
  <c r="H107"/>
  <c r="G74"/>
  <c r="K70"/>
  <c r="K65" s="1"/>
  <c r="G95"/>
  <c r="H94"/>
  <c r="J70"/>
  <c r="G72"/>
  <c r="G79"/>
  <c r="H77"/>
  <c r="J97"/>
  <c r="G99"/>
  <c r="G151"/>
  <c r="K20"/>
  <c r="G24"/>
  <c r="J27"/>
  <c r="G30"/>
  <c r="G53"/>
  <c r="H126"/>
  <c r="G29"/>
  <c r="G22"/>
  <c r="H27"/>
  <c r="G33"/>
  <c r="G49"/>
  <c r="G50"/>
  <c r="G51"/>
  <c r="J57"/>
  <c r="J60" s="1"/>
  <c r="G147"/>
  <c r="G59"/>
  <c r="I65"/>
  <c r="I111" s="1"/>
  <c r="K15" l="1"/>
  <c r="G97"/>
  <c r="G60"/>
  <c r="J148"/>
  <c r="J152" s="1"/>
  <c r="J150" s="1"/>
  <c r="J15"/>
  <c r="J91"/>
  <c r="G44"/>
  <c r="G70"/>
  <c r="J65"/>
  <c r="K41"/>
  <c r="H41"/>
  <c r="H148" s="1"/>
  <c r="H152" s="1"/>
  <c r="G27"/>
  <c r="G47"/>
  <c r="J122"/>
  <c r="J119" s="1"/>
  <c r="J117" s="1"/>
  <c r="H15"/>
  <c r="G77"/>
  <c r="K38"/>
  <c r="H124"/>
  <c r="G126"/>
  <c r="J146"/>
  <c r="J144" s="1"/>
  <c r="G57"/>
  <c r="G20"/>
  <c r="G94"/>
  <c r="H91"/>
  <c r="G107"/>
  <c r="H110"/>
  <c r="G110" s="1"/>
  <c r="H65"/>
  <c r="G91" l="1"/>
  <c r="G15"/>
  <c r="K88"/>
  <c r="J104" s="1"/>
  <c r="J111" s="1"/>
  <c r="K148"/>
  <c r="G148" s="1"/>
  <c r="K122"/>
  <c r="K119" s="1"/>
  <c r="K117" s="1"/>
  <c r="K143"/>
  <c r="K140" s="1"/>
  <c r="K123" s="1"/>
  <c r="H122"/>
  <c r="G41"/>
  <c r="K36"/>
  <c r="H54" s="1"/>
  <c r="H63" s="1"/>
  <c r="H146"/>
  <c r="H144" s="1"/>
  <c r="H143"/>
  <c r="G124"/>
  <c r="G65"/>
  <c r="K86"/>
  <c r="H150"/>
  <c r="J54"/>
  <c r="J63" s="1"/>
  <c r="G38"/>
  <c r="G88" l="1"/>
  <c r="K35"/>
  <c r="K63" s="1"/>
  <c r="G63" s="1"/>
  <c r="H119"/>
  <c r="G122"/>
  <c r="G143"/>
  <c r="H140"/>
  <c r="K152"/>
  <c r="K146"/>
  <c r="K144" s="1"/>
  <c r="G144" s="1"/>
  <c r="G36"/>
  <c r="G54"/>
  <c r="H104"/>
  <c r="K85"/>
  <c r="G86"/>
  <c r="G35" l="1"/>
  <c r="G146"/>
  <c r="G140"/>
  <c r="H123"/>
  <c r="G123" s="1"/>
  <c r="K150"/>
  <c r="G152"/>
  <c r="H117"/>
  <c r="G117" s="1"/>
  <c r="G119"/>
  <c r="G104"/>
  <c r="H111"/>
  <c r="G85"/>
  <c r="K111"/>
  <c r="G111" l="1"/>
  <c r="G150"/>
</calcChain>
</file>

<file path=xl/sharedStrings.xml><?xml version="1.0" encoding="utf-8"?>
<sst xmlns="http://schemas.openxmlformats.org/spreadsheetml/2006/main" count="662" uniqueCount="233">
  <si>
    <t>Всего</t>
  </si>
  <si>
    <t>В том числе по уровню напряжения</t>
  </si>
  <si>
    <t>ВН</t>
  </si>
  <si>
    <t>СН1</t>
  </si>
  <si>
    <t>СН2</t>
  </si>
  <si>
    <t>НН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</si>
  <si>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</si>
  <si>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</si>
  <si>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</si>
  <si>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</si>
  <si>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</si>
  <si>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от смежных сетевых организаций:</t>
  </si>
  <si>
    <t>ООО "Башкирские распределительные электрические сети"</t>
  </si>
  <si>
    <t>ООО "Аскинские электрические сети"</t>
  </si>
  <si>
    <t>АО «Электросеть»</t>
  </si>
  <si>
    <t>Поступление в сеть из других уровней напряжения (трансформация)</t>
  </si>
  <si>
    <t xml:space="preserve">НН </t>
  </si>
  <si>
    <t>Генерация на установках организации (совмещение деятельности)</t>
  </si>
  <si>
    <t>Отпуск из сети: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</si>
  <si>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</si>
  <si>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</si>
  <si>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</si>
  <si>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</si>
  <si>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</si>
  <si>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</si>
  <si>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относимые на собственное потребление (фактическое значение)</t>
  </si>
  <si>
    <t>Небаланс</t>
  </si>
  <si>
    <t>относимые на собственное потребление</t>
  </si>
  <si>
    <t>Заявленная мощность</t>
  </si>
  <si>
    <t>Максимальная мощность</t>
  </si>
  <si>
    <t>Резервируемая мощность</t>
  </si>
  <si>
    <t>по одноставочному тарифу</t>
  </si>
  <si>
    <t>по двухставочному тарифу:</t>
  </si>
  <si>
    <t>по одноставочному тарифу:</t>
  </si>
  <si>
    <t>прочим потребителям</t>
  </si>
  <si>
    <t>населению и приравненным к нему категориям потребителей: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</si>
  <si>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</si>
  <si>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в пределах социальной нормы потребления</t>
  </si>
  <si>
    <t>сверх социальной нормы потребления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</si>
  <si>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</si>
  <si>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Населению, проживающему в сельских населенных пунктах и приравненным к нему потребителям:</t>
  </si>
  <si>
    <t>Садоводческим, огородническим или дачным некоммерческим объединениям граждан</t>
  </si>
  <si>
    <t>Религиозным организациям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</si>
  <si>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</si>
  <si>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</si>
  <si>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по двухставочному тарифу (прочие потребители):</t>
  </si>
  <si>
    <t>мощность, в том числе:</t>
  </si>
  <si>
    <t>компенсация потерь</t>
  </si>
  <si>
    <t>мощность</t>
  </si>
  <si>
    <t>то же в относительном выражении, %</t>
  </si>
  <si>
    <t>Акционерное общество "Башкирские Электрические сети"</t>
  </si>
  <si>
    <t>По договору № 092400012 с ООО "Башэлектросбыт", с НДС</t>
  </si>
  <si>
    <t>ГУП «Региональные электрические сети» Республики Башкортостан</t>
  </si>
  <si>
    <t>026301001</t>
  </si>
  <si>
    <t>025501001</t>
  </si>
  <si>
    <t>025250001</t>
  </si>
  <si>
    <t>020401001</t>
  </si>
  <si>
    <t>027801001</t>
  </si>
  <si>
    <t>026401001</t>
  </si>
  <si>
    <t>025645001</t>
  </si>
  <si>
    <t>025301001</t>
  </si>
  <si>
    <t>Норматив потерь, утвержденный постановлением № 804 от 23.12.2021 г. ГКТ РБ, млн кВт*ч</t>
  </si>
  <si>
    <t>issueTtl</t>
  </si>
  <si>
    <t>issueHV</t>
  </si>
  <si>
    <t>issueAV1</t>
  </si>
  <si>
    <t>issueAV2</t>
  </si>
  <si>
    <t>issueLV</t>
  </si>
  <si>
    <t>splrNumber</t>
  </si>
  <si>
    <t>splrName</t>
  </si>
  <si>
    <t>splrOgrn</t>
  </si>
  <si>
    <t>splrInn</t>
  </si>
  <si>
    <t>splrKpp</t>
  </si>
  <si>
    <t>splrSource</t>
  </si>
  <si>
    <t>rowType</t>
  </si>
  <si>
    <t>№ п/п</t>
  </si>
  <si>
    <t>Потребители</t>
  </si>
  <si>
    <t>Единица измерения</t>
  </si>
  <si>
    <t>I. Электроэнергия</t>
  </si>
  <si>
    <t>1</t>
  </si>
  <si>
    <t>тыс.кВт*ч</t>
  </si>
  <si>
    <t>STATIC</t>
  </si>
  <si>
    <t>1.1</t>
  </si>
  <si>
    <t>1.2</t>
  </si>
  <si>
    <t>0</t>
  </si>
  <si>
    <t>INSERT.ENR.INCOME.GEN</t>
  </si>
  <si>
    <t>1.3</t>
  </si>
  <si>
    <t>×</t>
  </si>
  <si>
    <t>ООО "РЭМ"</t>
  </si>
  <si>
    <t>1200200023000</t>
  </si>
  <si>
    <t>0278958830</t>
  </si>
  <si>
    <t>EGRULIP</t>
  </si>
  <si>
    <t>DYNAMIC.ENR.INCOME.NON.NET</t>
  </si>
  <si>
    <t>ООО "НГУ"</t>
  </si>
  <si>
    <t>2</t>
  </si>
  <si>
    <t>1100263000200</t>
  </si>
  <si>
    <t>0263015092</t>
  </si>
  <si>
    <t>ФГБУ САНАТОРИЙ "ГЛУХОВСКАЯ" МИНЗДРАВА РОССИИ</t>
  </si>
  <si>
    <t>3</t>
  </si>
  <si>
    <t>1020201578902</t>
  </si>
  <si>
    <t>0209001038</t>
  </si>
  <si>
    <t>АДМИНИСТРАЦИЯ СП ЗНАМЕНСКИЙ СЕЛЬСОВЕТ МР БЕЛЕБЕЕВСКИЙ РАЙОН РБ</t>
  </si>
  <si>
    <t>4</t>
  </si>
  <si>
    <t>1020201582158</t>
  </si>
  <si>
    <t>0209001084</t>
  </si>
  <si>
    <t>INSERT.ENR.INCOME.NON.NET</t>
  </si>
  <si>
    <t>1.4</t>
  </si>
  <si>
    <t>1050204504558</t>
  </si>
  <si>
    <t>0277071467</t>
  </si>
  <si>
    <t>RST_ORG</t>
  </si>
  <si>
    <t>DYNAMIC.ENR.INCOME.ADJACENT.NET</t>
  </si>
  <si>
    <t>1070228000116</t>
  </si>
  <si>
    <t>0204004853</t>
  </si>
  <si>
    <t>1020201880819</t>
  </si>
  <si>
    <t>0264006823</t>
  </si>
  <si>
    <t>1087746413468</t>
  </si>
  <si>
    <t>7714734225</t>
  </si>
  <si>
    <t>АО "БСК"</t>
  </si>
  <si>
    <t>5</t>
  </si>
  <si>
    <t>1020202079479</t>
  </si>
  <si>
    <t>0268008010</t>
  </si>
  <si>
    <t>997350001</t>
  </si>
  <si>
    <t>INSERT.ENR.INCOME.ADJACENT.NET</t>
  </si>
  <si>
    <t>2.1</t>
  </si>
  <si>
    <t>2.2</t>
  </si>
  <si>
    <t>2.3</t>
  </si>
  <si>
    <t>2.4</t>
  </si>
  <si>
    <t>4.1</t>
  </si>
  <si>
    <t>прямым прочим потребителям по договорам оказания услуг по передаче электрической энергии</t>
  </si>
  <si>
    <t>4.1.1</t>
  </si>
  <si>
    <t>из них потребителям, опосредованно подключённым к шинам генераторов</t>
  </si>
  <si>
    <t>4.2</t>
  </si>
  <si>
    <t>4.2.1</t>
  </si>
  <si>
    <t>4.2.1.1</t>
  </si>
  <si>
    <t>потребителям, опосредованно подключённым к шинам генераторов</t>
  </si>
  <si>
    <t>4.3</t>
  </si>
  <si>
    <t>DYNAMIC.ENR.OUTCOME.ADJACENT.NET</t>
  </si>
  <si>
    <t>1180280043570</t>
  </si>
  <si>
    <t>0253019676</t>
  </si>
  <si>
    <t>INSERT.ENR.OUTCOME.ADJACENT.NET</t>
  </si>
  <si>
    <t>4.4</t>
  </si>
  <si>
    <t>население и приравненные к ним группы</t>
  </si>
  <si>
    <t>6</t>
  </si>
  <si>
    <t>7</t>
  </si>
  <si>
    <t>8</t>
  </si>
  <si>
    <t>Общий объём потерь (фактические объёмы), в том числе:</t>
  </si>
  <si>
    <t>8.1</t>
  </si>
  <si>
    <t>9</t>
  </si>
  <si>
    <t>Нормативные потери (объёмы потерь, учтённые в сводном прогнозном балансе)</t>
  </si>
  <si>
    <t>10</t>
  </si>
  <si>
    <t>Объём превышения фактических объёмов потерь электрической энергии над объёмами потерь, учтёнными в сводном прогнозном балансе за соответствующий расчётный период</t>
  </si>
  <si>
    <t>II. Мощность</t>
  </si>
  <si>
    <t>12</t>
  </si>
  <si>
    <t>МВт</t>
  </si>
  <si>
    <t>12.1</t>
  </si>
  <si>
    <t>12.2</t>
  </si>
  <si>
    <t>INSERT.PWR.INCOME.GEN</t>
  </si>
  <si>
    <t>12.3</t>
  </si>
  <si>
    <t>DYNAMIC.PWR.INCOME.NON.NET</t>
  </si>
  <si>
    <t>INSERT.PWR.INCOME.NON.NET</t>
  </si>
  <si>
    <t>12.4</t>
  </si>
  <si>
    <t>DYNAMIC.PWR.INCOME.ADJACENT.NET</t>
  </si>
  <si>
    <t>INSERT.PWR.INCOME.ADJACENT.NET</t>
  </si>
  <si>
    <t>13</t>
  </si>
  <si>
    <t>13.1</t>
  </si>
  <si>
    <t>13.2</t>
  </si>
  <si>
    <t>13.3</t>
  </si>
  <si>
    <t>13.4</t>
  </si>
  <si>
    <t>14</t>
  </si>
  <si>
    <t>15</t>
  </si>
  <si>
    <t>15.1</t>
  </si>
  <si>
    <t>15.1.1</t>
  </si>
  <si>
    <t>15.2</t>
  </si>
  <si>
    <t>15.2.1</t>
  </si>
  <si>
    <t>15.2.1.1</t>
  </si>
  <si>
    <t>15.3</t>
  </si>
  <si>
    <t>DYNAMIC.PWR.OUTCOME.ADJACENT.NET</t>
  </si>
  <si>
    <t>INSERT.PWR.OUTCOME.ADJACENT.NET</t>
  </si>
  <si>
    <t>15.4</t>
  </si>
  <si>
    <t>16</t>
  </si>
  <si>
    <t>17</t>
  </si>
  <si>
    <t>18</t>
  </si>
  <si>
    <t>19</t>
  </si>
  <si>
    <t>19.1</t>
  </si>
  <si>
    <t>20</t>
  </si>
  <si>
    <t>21</t>
  </si>
  <si>
    <t>22</t>
  </si>
  <si>
    <t>III. Мощность</t>
  </si>
  <si>
    <t>23</t>
  </si>
  <si>
    <t>24</t>
  </si>
  <si>
    <t>25</t>
  </si>
  <si>
    <t>IV. Фактический полезный отпуск конечным потребителям</t>
  </si>
  <si>
    <t>26</t>
  </si>
  <si>
    <t>Полезный отпуск конечным потребителям:</t>
  </si>
  <si>
    <t>26.1</t>
  </si>
  <si>
    <t>26.2</t>
  </si>
  <si>
    <t>26.2.1</t>
  </si>
  <si>
    <t>26.2.1.1</t>
  </si>
  <si>
    <t>опосредованно подключённым к шинам генераторов</t>
  </si>
  <si>
    <t>26.2.2</t>
  </si>
  <si>
    <t>27</t>
  </si>
  <si>
    <t>Полезный отпуск потребителям ГП, ЭСО:</t>
  </si>
  <si>
    <t>27.1</t>
  </si>
  <si>
    <t>27.1.1</t>
  </si>
  <si>
    <t>27.1.2</t>
  </si>
  <si>
    <t>27.1.2.1</t>
  </si>
  <si>
    <t>27.1.2.1.1</t>
  </si>
  <si>
    <t>27.1.2.1.2</t>
  </si>
  <si>
    <t>27.1.2.2</t>
  </si>
  <si>
    <t>27.1.2.2.1</t>
  </si>
  <si>
    <t>27.1.2.2.2</t>
  </si>
  <si>
    <t>27.1.2.3</t>
  </si>
  <si>
    <t>27.1.2.3.1</t>
  </si>
  <si>
    <t>27.1.2.3.2</t>
  </si>
  <si>
    <t>27.1.2.4</t>
  </si>
  <si>
    <t>27.1.2.5</t>
  </si>
  <si>
    <t>27.1.2.6</t>
  </si>
  <si>
    <t>27.1.2.7</t>
  </si>
  <si>
    <t>27.2</t>
  </si>
  <si>
    <t>27.2.1</t>
  </si>
  <si>
    <t>27.2.1.1</t>
  </si>
  <si>
    <t>27.2.2</t>
  </si>
  <si>
    <t>28</t>
  </si>
  <si>
    <t>Оплачиваемый сетевыми организациями объём оказанных услуг по индивидуальному тарифу:</t>
  </si>
  <si>
    <t>28.1</t>
  </si>
  <si>
    <t>28.2</t>
  </si>
  <si>
    <t>28.2.1</t>
  </si>
  <si>
    <t>28.2.2</t>
  </si>
  <si>
    <t>V. Стоимость услуг</t>
  </si>
  <si>
    <t>тыс.руб.</t>
  </si>
  <si>
    <t>31.2</t>
  </si>
  <si>
    <t>31.2.1</t>
  </si>
  <si>
    <t>31.2.2</t>
  </si>
  <si>
    <t>Затраты на покупку потерь ( руб)</t>
  </si>
</sst>
</file>

<file path=xl/styles.xml><?xml version="1.0" encoding="utf-8"?>
<styleSheet xmlns="http://schemas.openxmlformats.org/spreadsheetml/2006/main">
  <numFmts count="1">
    <numFmt numFmtId="164" formatCode="#,##0.00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color theme="0" tint="-0.249977111117893"/>
      <name val="Tahoma"/>
      <family val="2"/>
      <charset val="204"/>
    </font>
    <font>
      <sz val="8"/>
      <color theme="0"/>
      <name val="Tahoma"/>
      <family val="2"/>
      <charset val="204"/>
    </font>
    <font>
      <sz val="8"/>
      <color rgb="FF000080"/>
      <name val="Tahoma"/>
      <family val="2"/>
      <charset val="204"/>
    </font>
    <font>
      <b/>
      <sz val="10"/>
      <color rgb="FFBCBCBC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CFF99"/>
      </patternFill>
    </fill>
    <fill>
      <patternFill patternType="solid">
        <fgColor rgb="FFBCBCBC"/>
      </patternFill>
    </fill>
    <fill>
      <patternFill patternType="solid">
        <fgColor rgb="FFEAEBEE"/>
      </patternFill>
    </fill>
    <fill>
      <patternFill patternType="solid">
        <fgColor rgb="FFD7EAD3"/>
      </patternFill>
    </fill>
    <fill>
      <patternFill patternType="solid">
        <fgColor theme="0"/>
      </patternFill>
    </fill>
    <fill>
      <patternFill patternType="solid">
        <fgColor rgb="FFFFFFC0"/>
      </patternFill>
    </fill>
    <fill>
      <patternFill patternType="solid">
        <fgColor rgb="FFFFFFFF"/>
      </patternFill>
    </fill>
    <fill>
      <patternFill patternType="solid">
        <fgColor rgb="FFD3DBDB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</borders>
  <cellStyleXfs count="3">
    <xf numFmtId="0" fontId="0" fillId="0" borderId="0"/>
    <xf numFmtId="0" fontId="1" fillId="0" borderId="0"/>
    <xf numFmtId="49" fontId="3" fillId="0" borderId="0" applyBorder="0">
      <alignment vertical="top"/>
    </xf>
  </cellStyleXfs>
  <cellXfs count="40">
    <xf numFmtId="0" fontId="0" fillId="0" borderId="0" xfId="0"/>
    <xf numFmtId="0" fontId="4" fillId="0" borderId="0" xfId="0" applyNumberFormat="1" applyFont="1"/>
    <xf numFmtId="0" fontId="0" fillId="0" borderId="0" xfId="0" applyNumberFormat="1" applyFont="1"/>
    <xf numFmtId="0" fontId="4" fillId="0" borderId="2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0" borderId="0" xfId="1" applyNumberFormat="1" applyFont="1"/>
    <xf numFmtId="49" fontId="4" fillId="0" borderId="0" xfId="0" applyNumberFormat="1" applyFont="1"/>
    <xf numFmtId="49" fontId="4" fillId="0" borderId="2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left" vertical="center" wrapText="1" indent="1"/>
    </xf>
    <xf numFmtId="0" fontId="4" fillId="3" borderId="4" xfId="0" applyNumberFormat="1" applyFont="1" applyFill="1" applyBorder="1" applyAlignment="1">
      <alignment horizontal="left" vertical="center" wrapText="1" inden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/>
    <xf numFmtId="0" fontId="4" fillId="5" borderId="2" xfId="0" applyNumberFormat="1" applyFont="1" applyFill="1" applyBorder="1" applyAlignment="1">
      <alignment horizontal="left" vertical="center" wrapText="1" indent="1"/>
    </xf>
    <xf numFmtId="0" fontId="4" fillId="5" borderId="2" xfId="0" applyNumberFormat="1" applyFont="1" applyFill="1" applyBorder="1" applyAlignment="1">
      <alignment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0" fontId="4" fillId="7" borderId="2" xfId="2" applyNumberFormat="1" applyFont="1" applyFill="1" applyBorder="1" applyAlignment="1">
      <alignment horizontal="left" vertical="center" wrapText="1" indent="1"/>
    </xf>
    <xf numFmtId="0" fontId="4" fillId="0" borderId="2" xfId="2" applyNumberFormat="1" applyFont="1" applyBorder="1" applyAlignment="1">
      <alignment horizontal="left" vertical="center" wrapText="1" indent="1"/>
    </xf>
    <xf numFmtId="164" fontId="4" fillId="8" borderId="2" xfId="0" applyNumberFormat="1" applyFont="1" applyFill="1" applyBorder="1" applyAlignment="1" applyProtection="1">
      <alignment horizontal="right" vertical="center"/>
      <protection locked="0"/>
    </xf>
    <xf numFmtId="0" fontId="6" fillId="0" borderId="3" xfId="2" applyNumberFormat="1" applyFont="1" applyBorder="1" applyAlignment="1">
      <alignment horizontal="left" vertical="center" wrapText="1" indent="1"/>
    </xf>
    <xf numFmtId="0" fontId="7" fillId="9" borderId="6" xfId="0" applyNumberFormat="1" applyFont="1" applyFill="1" applyBorder="1" applyAlignment="1">
      <alignment horizontal="left" vertical="center" indent="1"/>
    </xf>
    <xf numFmtId="49" fontId="4" fillId="0" borderId="4" xfId="2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3" xfId="2" applyNumberFormat="1" applyFont="1" applyBorder="1" applyAlignment="1">
      <alignment horizontal="left" vertical="center" wrapText="1" indent="1"/>
    </xf>
    <xf numFmtId="49" fontId="4" fillId="10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top" wrapText="1"/>
    </xf>
    <xf numFmtId="0" fontId="4" fillId="10" borderId="2" xfId="2" applyNumberFormat="1" applyFont="1" applyFill="1" applyBorder="1" applyAlignment="1">
      <alignment horizontal="left" vertical="center" wrapText="1" indent="2"/>
    </xf>
    <xf numFmtId="49" fontId="4" fillId="0" borderId="2" xfId="0" applyNumberFormat="1" applyFont="1" applyBorder="1" applyAlignment="1">
      <alignment horizontal="left" vertical="center"/>
    </xf>
    <xf numFmtId="164" fontId="4" fillId="4" borderId="2" xfId="0" applyNumberFormat="1" applyFont="1" applyFill="1" applyBorder="1" applyAlignment="1">
      <alignment horizontal="right" vertical="center"/>
    </xf>
    <xf numFmtId="0" fontId="4" fillId="0" borderId="2" xfId="2" applyNumberFormat="1" applyFont="1" applyBorder="1" applyAlignment="1">
      <alignment horizontal="left" vertical="center" wrapText="1" indent="2"/>
    </xf>
    <xf numFmtId="0" fontId="4" fillId="0" borderId="2" xfId="2" applyNumberFormat="1" applyFont="1" applyBorder="1" applyAlignment="1">
      <alignment horizontal="left" vertical="center" wrapText="1" indent="3"/>
    </xf>
    <xf numFmtId="0" fontId="4" fillId="0" borderId="2" xfId="2" applyNumberFormat="1" applyFont="1" applyBorder="1" applyAlignment="1">
      <alignment horizontal="left" vertical="center" wrapText="1" indent="4"/>
    </xf>
    <xf numFmtId="0" fontId="4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/>
  </cellXfs>
  <cellStyles count="3">
    <cellStyle name="Обычный" xfId="0" builtinId="0"/>
    <cellStyle name="Обычный 10" xfId="2"/>
    <cellStyle name="Обычный_Полезный отпуск электроэнергии и мощности, реализуемой по нерегулируемым ценам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3;&#1048;&#1055;-&#1069;&#1051;&#1045;&#1050;&#1058;&#1056;&#1054;/46/2019/46EP.STX(v1.0)%20&#1043;&#1086;&#1076;&#1086;&#1074;&#1086;&#1081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4;&#1083;&#1103;%20&#1089;&#1072;&#1081;&#1090;&#1072;/2019/!.46EP.STX(v1.0)%20-2018%20&#1075;&#1086;&#1076;%20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1.46EP.STX.EIAS_&#1085;&#1086;&#1103;&#1073;&#1088;&#110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10.46EP.STX.EIAS_&#1086;&#1082;&#1090;&#1103;&#1073;&#1088;&#110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9.46EP.STX.EIAS_&#1089;&#1077;&#1085;&#1090;&#1103;&#1073;&#1088;&#110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8.46EP.STX.EIAS_&#1072;&#1074;&#1075;&#1091;&#1089;&#109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.46EP.STX.EIAS_&#1080;&#1102;&#1083;&#1100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46EP.STX.EIAS_&#1087;&#1077;&#1088;&#1074;&#1086;&#1077;%20&#1087;&#1086;&#1083;&#1091;&#1075;&#1086;&#1076;&#1080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>
        <row r="15">
          <cell r="G15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>
        <row r="15">
          <cell r="G15" t="str">
            <v>ООО "ГИП-Электро"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Отпуск ЭЭ сет организациями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 refreshError="1"/>
      <sheetData sheetId="1" refreshError="1"/>
      <sheetData sheetId="2" refreshError="1">
        <row r="22">
          <cell r="K22">
            <v>29.399000000000001</v>
          </cell>
        </row>
        <row r="23">
          <cell r="K23">
            <v>382.29899999999998</v>
          </cell>
        </row>
        <row r="24">
          <cell r="L24">
            <v>7.3789999999999996</v>
          </cell>
        </row>
        <row r="25">
          <cell r="L25">
            <v>0</v>
          </cell>
        </row>
        <row r="29">
          <cell r="I29">
            <v>2172.674</v>
          </cell>
          <cell r="K29">
            <v>19617.91</v>
          </cell>
          <cell r="L29">
            <v>77.540000000000006</v>
          </cell>
        </row>
        <row r="30">
          <cell r="K30">
            <v>90.406000000000006</v>
          </cell>
        </row>
        <row r="31">
          <cell r="I31">
            <v>1518.635</v>
          </cell>
          <cell r="K31">
            <v>183.72</v>
          </cell>
        </row>
        <row r="32">
          <cell r="I32">
            <v>1364.9939999999999</v>
          </cell>
        </row>
        <row r="33">
          <cell r="K33">
            <v>1807.3150000000001</v>
          </cell>
        </row>
        <row r="45">
          <cell r="I45">
            <v>4906.9660000000003</v>
          </cell>
          <cell r="K45">
            <v>3541.2739999999999</v>
          </cell>
          <cell r="L45">
            <v>3150.5610000000001</v>
          </cell>
        </row>
        <row r="49">
          <cell r="K49">
            <v>304.536</v>
          </cell>
          <cell r="L49">
            <v>57.433</v>
          </cell>
        </row>
        <row r="50">
          <cell r="K50">
            <v>131.941</v>
          </cell>
          <cell r="L50">
            <v>30.698</v>
          </cell>
        </row>
        <row r="51">
          <cell r="K51">
            <v>2.7730000000000001</v>
          </cell>
        </row>
        <row r="53">
          <cell r="K53">
            <v>1444.4570000000001</v>
          </cell>
          <cell r="L53">
            <v>11339.548000000001</v>
          </cell>
        </row>
        <row r="59">
          <cell r="I59">
            <v>104.047</v>
          </cell>
          <cell r="K59">
            <v>1635.136</v>
          </cell>
          <cell r="L59">
            <v>602.90099999999995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Отпуск ЭЭ сет организациями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 refreshError="1"/>
      <sheetData sheetId="1" refreshError="1"/>
      <sheetData sheetId="2" refreshError="1">
        <row r="22">
          <cell r="K22">
            <v>27.792999999999999</v>
          </cell>
        </row>
        <row r="23">
          <cell r="K23">
            <v>316.71699999999998</v>
          </cell>
        </row>
        <row r="24">
          <cell r="L24">
            <v>5.0880000000000001</v>
          </cell>
        </row>
        <row r="25">
          <cell r="L25">
            <v>1.254</v>
          </cell>
        </row>
        <row r="29">
          <cell r="I29">
            <v>1896.13</v>
          </cell>
          <cell r="K29">
            <v>17753.710999999999</v>
          </cell>
          <cell r="L29">
            <v>69.323999999999998</v>
          </cell>
        </row>
        <row r="30">
          <cell r="K30">
            <v>82.826999999999998</v>
          </cell>
        </row>
        <row r="31">
          <cell r="I31">
            <v>2891.4740000000002</v>
          </cell>
          <cell r="K31">
            <v>145.24</v>
          </cell>
        </row>
        <row r="32">
          <cell r="I32">
            <v>0</v>
          </cell>
        </row>
        <row r="33">
          <cell r="K33">
            <v>1534.846</v>
          </cell>
        </row>
        <row r="45">
          <cell r="I45">
            <v>4643.6419999999998</v>
          </cell>
          <cell r="K45">
            <v>3389.491</v>
          </cell>
          <cell r="L45">
            <v>3109.7840000000001</v>
          </cell>
        </row>
        <row r="49">
          <cell r="K49">
            <v>241.18199999999999</v>
          </cell>
          <cell r="L49">
            <v>47.497</v>
          </cell>
        </row>
        <row r="50">
          <cell r="K50">
            <v>118.937</v>
          </cell>
          <cell r="L50">
            <v>27.622</v>
          </cell>
        </row>
        <row r="51">
          <cell r="K51">
            <v>2.8620000000000001</v>
          </cell>
        </row>
        <row r="53">
          <cell r="K53">
            <v>1364.17</v>
          </cell>
          <cell r="L53">
            <v>9189.0650000000005</v>
          </cell>
        </row>
        <row r="59">
          <cell r="I59">
            <v>104.867</v>
          </cell>
          <cell r="K59">
            <v>1730.7080000000001</v>
          </cell>
          <cell r="L59">
            <v>754.577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Отпуск ЭЭ сет организациями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 refreshError="1"/>
      <sheetData sheetId="1" refreshError="1"/>
      <sheetData sheetId="2" refreshError="1">
        <row r="22">
          <cell r="K22">
            <v>16.597000000000001</v>
          </cell>
        </row>
        <row r="23">
          <cell r="K23">
            <v>250.28899999999999</v>
          </cell>
        </row>
        <row r="24">
          <cell r="L24">
            <v>4.7439999999999998</v>
          </cell>
        </row>
        <row r="25">
          <cell r="L25">
            <v>1.3919999999999999</v>
          </cell>
        </row>
        <row r="29">
          <cell r="I29">
            <v>1458.213</v>
          </cell>
          <cell r="K29">
            <v>14546.073</v>
          </cell>
          <cell r="L29">
            <v>41.749000000000002</v>
          </cell>
        </row>
        <row r="30">
          <cell r="K30">
            <v>63.695</v>
          </cell>
        </row>
        <row r="31">
          <cell r="I31">
            <v>2780.8519999999999</v>
          </cell>
          <cell r="K31">
            <v>90.16</v>
          </cell>
        </row>
        <row r="32">
          <cell r="I32">
            <v>0</v>
          </cell>
        </row>
        <row r="33">
          <cell r="K33">
            <v>1015.421</v>
          </cell>
        </row>
        <row r="45">
          <cell r="I45">
            <v>4102.2070000000003</v>
          </cell>
          <cell r="K45">
            <v>2804.096</v>
          </cell>
          <cell r="L45">
            <v>2509.73</v>
          </cell>
        </row>
        <row r="49">
          <cell r="K49">
            <v>182.733</v>
          </cell>
          <cell r="L49">
            <v>38.112000000000002</v>
          </cell>
        </row>
        <row r="50">
          <cell r="K50">
            <v>101.17700000000001</v>
          </cell>
          <cell r="L50">
            <v>28.263999999999999</v>
          </cell>
        </row>
        <row r="51">
          <cell r="K51">
            <v>2.552</v>
          </cell>
        </row>
        <row r="53">
          <cell r="K53">
            <v>942.74400000000003</v>
          </cell>
          <cell r="L53">
            <v>8134.2489999999998</v>
          </cell>
        </row>
        <row r="59">
          <cell r="I59">
            <v>134.773</v>
          </cell>
          <cell r="K59">
            <v>912.11300000000006</v>
          </cell>
          <cell r="L59">
            <v>376.435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Отпуск ЭЭ сет организациями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 refreshError="1"/>
      <sheetData sheetId="1" refreshError="1"/>
      <sheetData sheetId="2" refreshError="1">
        <row r="22">
          <cell r="K22">
            <v>16.82</v>
          </cell>
        </row>
        <row r="23">
          <cell r="K23">
            <v>312.91199999999998</v>
          </cell>
        </row>
        <row r="24">
          <cell r="L24">
            <v>3.2490000000000001</v>
          </cell>
        </row>
        <row r="25">
          <cell r="L25">
            <v>1.423</v>
          </cell>
        </row>
        <row r="29">
          <cell r="I29">
            <v>1681.421</v>
          </cell>
          <cell r="K29">
            <v>13922.892</v>
          </cell>
          <cell r="L29">
            <v>39.255000000000003</v>
          </cell>
        </row>
        <row r="30">
          <cell r="K30">
            <v>61.271999999999998</v>
          </cell>
        </row>
        <row r="31">
          <cell r="I31">
            <v>1517.2249999999999</v>
          </cell>
          <cell r="K31">
            <v>83.8</v>
          </cell>
        </row>
        <row r="32">
          <cell r="I32">
            <v>1167.9190000000001</v>
          </cell>
        </row>
        <row r="33">
          <cell r="K33">
            <v>846.91399999999999</v>
          </cell>
        </row>
        <row r="45">
          <cell r="I45">
            <v>4235.8180000000002</v>
          </cell>
          <cell r="K45">
            <v>2916.067</v>
          </cell>
          <cell r="L45">
            <v>2498.2449999999999</v>
          </cell>
        </row>
        <row r="49">
          <cell r="K49">
            <v>184.92699999999999</v>
          </cell>
          <cell r="L49">
            <v>38.543999999999997</v>
          </cell>
        </row>
        <row r="50">
          <cell r="K50">
            <v>78.786000000000001</v>
          </cell>
          <cell r="L50">
            <v>20.541</v>
          </cell>
        </row>
        <row r="51">
          <cell r="K51">
            <v>1.321</v>
          </cell>
        </row>
        <row r="53">
          <cell r="K53">
            <v>830.47299999999996</v>
          </cell>
          <cell r="L53">
            <v>7623.3689999999997</v>
          </cell>
        </row>
        <row r="59">
          <cell r="I59">
            <v>97.239000000000004</v>
          </cell>
          <cell r="K59">
            <v>787.24</v>
          </cell>
          <cell r="L59">
            <v>342.53199999999998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Отпуск ЭЭ сет организациями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 refreshError="1"/>
      <sheetData sheetId="1" refreshError="1"/>
      <sheetData sheetId="2" refreshError="1">
        <row r="22">
          <cell r="K22">
            <v>15.843</v>
          </cell>
        </row>
        <row r="23">
          <cell r="K23">
            <v>331.85300000000001</v>
          </cell>
        </row>
        <row r="24">
          <cell r="L24">
            <v>3.5489999999999999</v>
          </cell>
        </row>
        <row r="25">
          <cell r="L25">
            <v>1.482</v>
          </cell>
        </row>
        <row r="29">
          <cell r="I29">
            <v>1667.777</v>
          </cell>
          <cell r="K29">
            <v>13646.06</v>
          </cell>
          <cell r="L29">
            <v>37.720999999999997</v>
          </cell>
        </row>
        <row r="30">
          <cell r="K30">
            <v>54.362000000000002</v>
          </cell>
        </row>
        <row r="31">
          <cell r="I31">
            <v>1510.6859999999999</v>
          </cell>
          <cell r="K31">
            <v>86.34</v>
          </cell>
        </row>
        <row r="32">
          <cell r="I32">
            <v>1146.758</v>
          </cell>
        </row>
        <row r="33">
          <cell r="K33">
            <v>766.92200000000003</v>
          </cell>
        </row>
        <row r="45">
          <cell r="I45">
            <v>4190.424</v>
          </cell>
          <cell r="K45">
            <v>2951.84</v>
          </cell>
          <cell r="L45">
            <v>2557.0540000000001</v>
          </cell>
        </row>
        <row r="49">
          <cell r="K49">
            <v>189.57599999999999</v>
          </cell>
          <cell r="L49">
            <v>36.960999999999999</v>
          </cell>
        </row>
        <row r="50">
          <cell r="K50">
            <v>99.037999999999997</v>
          </cell>
          <cell r="L50">
            <v>21.63</v>
          </cell>
        </row>
        <row r="51">
          <cell r="K51">
            <v>1.5229999999999999</v>
          </cell>
        </row>
        <row r="53">
          <cell r="K53">
            <v>745.47199999999998</v>
          </cell>
          <cell r="L53">
            <v>7303.8819999999996</v>
          </cell>
        </row>
        <row r="59">
          <cell r="I59">
            <v>102.751</v>
          </cell>
          <cell r="K59">
            <v>764.36900000000003</v>
          </cell>
          <cell r="L59">
            <v>304.83300000000003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Титульный"/>
      <sheetName val="Отпуск ЭЭ сет организациями"/>
      <sheetName val="TECHSHEET"/>
      <sheetName val="TECH_HORISONTAL"/>
      <sheetName val="DICTIONARIES"/>
      <sheetName val="AUTHORIZATION"/>
      <sheetName val="REESTR_ORG"/>
      <sheetName val="REESTR_MO"/>
      <sheetName val="EGR_BY_ORGN_DATA"/>
      <sheetName val="FILE_STORE_DATA"/>
      <sheetName val="LIST_SUBSIDIARY"/>
      <sheetName val="LIST_OKOPF"/>
      <sheetName val="RPT_STATISTICS"/>
    </sheetNames>
    <sheetDataSet>
      <sheetData sheetId="0" refreshError="1"/>
      <sheetData sheetId="1" refreshError="1"/>
      <sheetData sheetId="2" refreshError="1">
        <row r="22">
          <cell r="K22">
            <v>142.82299999999998</v>
          </cell>
        </row>
        <row r="23">
          <cell r="K23">
            <v>2085.3669999999997</v>
          </cell>
        </row>
        <row r="24">
          <cell r="L24">
            <v>27.188000000000002</v>
          </cell>
        </row>
        <row r="25">
          <cell r="L25">
            <v>8.2149999999999999</v>
          </cell>
        </row>
        <row r="29">
          <cell r="I29">
            <v>11719.085999999999</v>
          </cell>
          <cell r="K29">
            <v>106839.849</v>
          </cell>
          <cell r="L29">
            <v>354.29899999999998</v>
          </cell>
        </row>
        <row r="30">
          <cell r="K30">
            <v>530.21299999999997</v>
          </cell>
        </row>
        <row r="31">
          <cell r="I31">
            <v>10405.593000000001</v>
          </cell>
          <cell r="K31">
            <v>968.8</v>
          </cell>
        </row>
        <row r="32">
          <cell r="I32">
            <v>4985.0640000000003</v>
          </cell>
        </row>
        <row r="33">
          <cell r="K33">
            <v>9126.4410000000007</v>
          </cell>
        </row>
        <row r="45">
          <cell r="I45">
            <v>26406.601999999995</v>
          </cell>
          <cell r="K45">
            <v>19717.53</v>
          </cell>
          <cell r="L45">
            <v>18025.336000000003</v>
          </cell>
        </row>
        <row r="49">
          <cell r="K49">
            <v>1721.3919999999998</v>
          </cell>
          <cell r="L49">
            <v>326.47299999999996</v>
          </cell>
        </row>
        <row r="50">
          <cell r="K50">
            <v>745.02499999999986</v>
          </cell>
          <cell r="L50">
            <v>170.56700000000001</v>
          </cell>
        </row>
        <row r="51">
          <cell r="K51">
            <v>13.883999999999999</v>
          </cell>
        </row>
        <row r="53">
          <cell r="K53">
            <v>7447.1569999999992</v>
          </cell>
          <cell r="L53">
            <v>62370.610999999997</v>
          </cell>
        </row>
        <row r="59">
          <cell r="I59">
            <v>518.24199999999996</v>
          </cell>
          <cell r="K59">
            <v>6601.66</v>
          </cell>
          <cell r="L59">
            <v>3128.4589999999998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56"/>
  <sheetViews>
    <sheetView tabSelected="1" topLeftCell="C7" workbookViewId="0">
      <selection activeCell="H161" sqref="H161"/>
    </sheetView>
  </sheetViews>
  <sheetFormatPr defaultRowHeight="10.5" customHeight="1"/>
  <cols>
    <col min="1" max="2" width="4.7109375" style="1" hidden="1" customWidth="1"/>
    <col min="3" max="3" width="2.7109375" style="1" customWidth="1"/>
    <col min="4" max="4" width="10.7109375" style="1" customWidth="1"/>
    <col min="5" max="5" width="63" style="1" customWidth="1"/>
    <col min="6" max="6" width="10.7109375" style="1" customWidth="1"/>
    <col min="7" max="8" width="17.7109375" style="1" customWidth="1"/>
    <col min="9" max="9" width="17.7109375" style="1" hidden="1" customWidth="1"/>
    <col min="10" max="11" width="17.7109375" style="1" customWidth="1"/>
    <col min="12" max="12" width="2.7109375" style="1" customWidth="1"/>
    <col min="13" max="18" width="13.5703125" style="1" hidden="1" customWidth="1"/>
    <col min="19" max="19" width="33.7109375" style="1" hidden="1" customWidth="1"/>
    <col min="20" max="16384" width="9.140625" style="2"/>
  </cols>
  <sheetData>
    <row r="1" spans="1:19" ht="10.5" hidden="1" customHeight="1"/>
    <row r="2" spans="1:19" ht="10.5" hidden="1" customHeight="1"/>
    <row r="3" spans="1:19" ht="10.5" hidden="1" customHeight="1">
      <c r="G3" s="3" t="s">
        <v>62</v>
      </c>
      <c r="H3" s="4" t="s">
        <v>63</v>
      </c>
      <c r="I3" s="4" t="s">
        <v>64</v>
      </c>
      <c r="J3" s="4" t="s">
        <v>65</v>
      </c>
      <c r="K3" s="4" t="s">
        <v>66</v>
      </c>
      <c r="M3" s="3" t="s">
        <v>67</v>
      </c>
      <c r="N3" s="3" t="s">
        <v>68</v>
      </c>
      <c r="O3" s="3" t="s">
        <v>69</v>
      </c>
      <c r="P3" s="3" t="s">
        <v>70</v>
      </c>
      <c r="Q3" s="3" t="s">
        <v>71</v>
      </c>
      <c r="R3" s="3" t="s">
        <v>72</v>
      </c>
      <c r="S3" s="3" t="s">
        <v>73</v>
      </c>
    </row>
    <row r="4" spans="1:19" ht="10.5" hidden="1" customHeight="1">
      <c r="F4" s="5"/>
      <c r="G4" s="5"/>
      <c r="H4" s="5"/>
      <c r="I4" s="5"/>
      <c r="J4" s="5"/>
      <c r="K4" s="5"/>
    </row>
    <row r="5" spans="1:19" ht="10.5" hidden="1" customHeight="1">
      <c r="A5" s="6"/>
    </row>
    <row r="6" spans="1:19" ht="10.5" hidden="1" customHeight="1">
      <c r="A6" s="6"/>
    </row>
    <row r="7" spans="1:19" ht="10.5" customHeight="1">
      <c r="A7" s="6"/>
    </row>
    <row r="8" spans="1:19" ht="10.5" customHeight="1">
      <c r="A8" s="6"/>
    </row>
    <row r="9" spans="1:19" ht="10.5" customHeight="1">
      <c r="A9" s="6"/>
    </row>
    <row r="10" spans="1:19" ht="10.5" customHeight="1">
      <c r="A10" s="6"/>
    </row>
    <row r="11" spans="1:19" ht="15" customHeight="1">
      <c r="D11" s="7" t="s">
        <v>74</v>
      </c>
      <c r="E11" s="7" t="s">
        <v>75</v>
      </c>
      <c r="F11" s="7" t="s">
        <v>76</v>
      </c>
      <c r="G11" s="7" t="s">
        <v>0</v>
      </c>
      <c r="H11" s="7" t="s">
        <v>1</v>
      </c>
      <c r="I11" s="7"/>
      <c r="J11" s="7"/>
      <c r="K11" s="7"/>
    </row>
    <row r="12" spans="1:19" ht="15" customHeight="1">
      <c r="D12" s="7"/>
      <c r="E12" s="7"/>
      <c r="F12" s="7"/>
      <c r="G12" s="7"/>
      <c r="H12" s="8" t="s">
        <v>2</v>
      </c>
      <c r="I12" s="8" t="s">
        <v>3</v>
      </c>
      <c r="J12" s="8" t="s">
        <v>4</v>
      </c>
      <c r="K12" s="8" t="s">
        <v>5</v>
      </c>
    </row>
    <row r="13" spans="1:19" ht="12" customHeight="1">
      <c r="D13" s="9">
        <v>0</v>
      </c>
      <c r="E13" s="9">
        <v>1</v>
      </c>
      <c r="F13" s="9">
        <v>2</v>
      </c>
      <c r="G13" s="9">
        <v>4</v>
      </c>
      <c r="H13" s="9">
        <v>5</v>
      </c>
      <c r="I13" s="9">
        <v>6</v>
      </c>
      <c r="J13" s="9">
        <v>7</v>
      </c>
      <c r="K13" s="9">
        <v>8</v>
      </c>
    </row>
    <row r="14" spans="1:19" ht="18" customHeight="1">
      <c r="D14" s="10" t="s">
        <v>77</v>
      </c>
      <c r="E14" s="11"/>
      <c r="F14" s="11"/>
      <c r="G14" s="12"/>
      <c r="H14" s="12"/>
      <c r="I14" s="12"/>
      <c r="J14" s="12"/>
      <c r="K14" s="13"/>
      <c r="M14" s="14"/>
      <c r="N14" s="14"/>
      <c r="O14" s="14"/>
      <c r="P14" s="14"/>
      <c r="Q14" s="14"/>
      <c r="R14" s="14"/>
      <c r="S14" s="14"/>
    </row>
    <row r="15" spans="1:19" ht="12" customHeight="1">
      <c r="D15" s="15" t="s">
        <v>78</v>
      </c>
      <c r="E15" s="16" t="s">
        <v>6</v>
      </c>
      <c r="F15" s="17" t="s">
        <v>79</v>
      </c>
      <c r="G15" s="18">
        <f>SUM(H15:K15)</f>
        <v>291542.76999999996</v>
      </c>
      <c r="H15" s="18">
        <f>SUM(H16,H17,H20,H27)</f>
        <v>55264.031999999999</v>
      </c>
      <c r="I15" s="18">
        <f>SUM(I16,I17,I20,I27)</f>
        <v>0</v>
      </c>
      <c r="J15" s="18">
        <f>SUM(J16,J17,J20,J27)</f>
        <v>235496.84400000001</v>
      </c>
      <c r="K15" s="18">
        <f>SUM(K16,K17,K20,K27)</f>
        <v>781.89400000000001</v>
      </c>
      <c r="M15" s="14"/>
      <c r="N15" s="14"/>
      <c r="O15" s="14"/>
      <c r="P15" s="14"/>
      <c r="Q15" s="14"/>
      <c r="R15" s="14"/>
      <c r="S15" s="19" t="s">
        <v>80</v>
      </c>
    </row>
    <row r="16" spans="1:19" ht="12" customHeight="1">
      <c r="D16" s="20" t="s">
        <v>81</v>
      </c>
      <c r="E16" s="21" t="s">
        <v>7</v>
      </c>
      <c r="F16" s="8" t="s">
        <v>79</v>
      </c>
      <c r="G16" s="18">
        <f>SUM(H16:K16)</f>
        <v>0</v>
      </c>
      <c r="H16" s="22"/>
      <c r="I16" s="22"/>
      <c r="J16" s="22"/>
      <c r="K16" s="22"/>
      <c r="M16" s="14"/>
      <c r="N16" s="14"/>
      <c r="O16" s="14"/>
      <c r="P16" s="14"/>
      <c r="Q16" s="14"/>
      <c r="R16" s="14"/>
      <c r="S16" s="19" t="s">
        <v>80</v>
      </c>
    </row>
    <row r="17" spans="3:19" ht="12" customHeight="1">
      <c r="D17" s="20" t="s">
        <v>82</v>
      </c>
      <c r="E17" s="21" t="s">
        <v>8</v>
      </c>
      <c r="F17" s="8" t="s">
        <v>79</v>
      </c>
      <c r="G17" s="18">
        <f>SUM(H17:K17)</f>
        <v>0</v>
      </c>
      <c r="H17" s="18">
        <f>SUM(H18:H19)</f>
        <v>0</v>
      </c>
      <c r="I17" s="18">
        <f>SUM(I18:I19)</f>
        <v>0</v>
      </c>
      <c r="J17" s="18">
        <f>SUM(J18:J19)</f>
        <v>0</v>
      </c>
      <c r="K17" s="18">
        <f>SUM(K18:K19)</f>
        <v>0</v>
      </c>
      <c r="M17" s="14"/>
      <c r="N17" s="14"/>
      <c r="O17" s="14"/>
      <c r="P17" s="14"/>
      <c r="Q17" s="14"/>
      <c r="R17" s="14"/>
      <c r="S17" s="19" t="s">
        <v>80</v>
      </c>
    </row>
    <row r="18" spans="3:19" ht="12" hidden="1" customHeight="1">
      <c r="D18" s="23"/>
      <c r="E18" s="24"/>
      <c r="F18" s="25"/>
      <c r="G18" s="26"/>
      <c r="H18" s="26"/>
      <c r="I18" s="26"/>
      <c r="J18" s="26"/>
      <c r="K18" s="27"/>
      <c r="M18" s="19" t="s">
        <v>83</v>
      </c>
      <c r="N18" s="14"/>
      <c r="O18" s="14"/>
      <c r="P18" s="14"/>
      <c r="Q18" s="14"/>
      <c r="R18" s="14"/>
      <c r="S18" s="14"/>
    </row>
    <row r="19" spans="3:19" ht="12" customHeight="1">
      <c r="D19" s="28"/>
      <c r="E19" s="24" t="s">
        <v>9</v>
      </c>
      <c r="F19" s="25"/>
      <c r="G19" s="26"/>
      <c r="H19" s="26"/>
      <c r="I19" s="26"/>
      <c r="J19" s="26"/>
      <c r="K19" s="27"/>
      <c r="M19" s="14"/>
      <c r="N19" s="14"/>
      <c r="O19" s="14"/>
      <c r="P19" s="14"/>
      <c r="Q19" s="14"/>
      <c r="R19" s="14"/>
      <c r="S19" s="29" t="s">
        <v>84</v>
      </c>
    </row>
    <row r="20" spans="3:19" ht="12" customHeight="1">
      <c r="D20" s="20" t="s">
        <v>85</v>
      </c>
      <c r="E20" s="21" t="s">
        <v>10</v>
      </c>
      <c r="F20" s="8" t="s">
        <v>79</v>
      </c>
      <c r="G20" s="18">
        <f>SUM(H20:K20)</f>
        <v>4532.1329999999998</v>
      </c>
      <c r="H20" s="18">
        <f>SUM(H21:H26)</f>
        <v>0</v>
      </c>
      <c r="I20" s="18">
        <f>SUM(I21:I26)</f>
        <v>0</v>
      </c>
      <c r="J20" s="18">
        <f>SUM(J21:J26)</f>
        <v>4458.2139999999999</v>
      </c>
      <c r="K20" s="18">
        <f>SUM(K21:K26)</f>
        <v>73.919000000000011</v>
      </c>
      <c r="M20" s="14"/>
      <c r="N20" s="14"/>
      <c r="O20" s="14"/>
      <c r="P20" s="14"/>
      <c r="Q20" s="14"/>
      <c r="R20" s="14"/>
      <c r="S20" s="19" t="s">
        <v>80</v>
      </c>
    </row>
    <row r="21" spans="3:19" ht="12" hidden="1" customHeight="1">
      <c r="D21" s="23"/>
      <c r="E21" s="24"/>
      <c r="F21" s="25"/>
      <c r="G21" s="26"/>
      <c r="H21" s="26"/>
      <c r="I21" s="26"/>
      <c r="J21" s="26"/>
      <c r="K21" s="27"/>
      <c r="M21" s="19" t="s">
        <v>83</v>
      </c>
      <c r="N21" s="14"/>
      <c r="O21" s="14"/>
      <c r="P21" s="14"/>
      <c r="Q21" s="14"/>
      <c r="R21" s="14"/>
      <c r="S21" s="14"/>
    </row>
    <row r="22" spans="3:19" s="1" customFormat="1" ht="12" customHeight="1">
      <c r="C22" s="30" t="s">
        <v>86</v>
      </c>
      <c r="D22" s="20" t="str">
        <f>"1.3."&amp;M22</f>
        <v>1.3.1</v>
      </c>
      <c r="E22" s="31" t="s">
        <v>87</v>
      </c>
      <c r="F22" s="8" t="s">
        <v>79</v>
      </c>
      <c r="G22" s="18">
        <f>SUM(H22:K22)</f>
        <v>285.06299999999999</v>
      </c>
      <c r="H22" s="22"/>
      <c r="I22" s="22"/>
      <c r="J22" s="22">
        <f>35.788+'[3]Отпуск ЭЭ сет организациями'!$K$22+'[4]Отпуск ЭЭ сет организациями'!$K$22+'[5]Отпуск ЭЭ сет организациями'!$K$22+'[6]Отпуск ЭЭ сет организациями'!$K$22+'[7]Отпуск ЭЭ сет организациями'!$K$22+'[8]Отпуск ЭЭ сет организациями'!$K$22</f>
        <v>285.06299999999999</v>
      </c>
      <c r="K22" s="22"/>
      <c r="M22" s="19" t="s">
        <v>78</v>
      </c>
      <c r="N22" s="32" t="s">
        <v>87</v>
      </c>
      <c r="O22" s="32" t="s">
        <v>88</v>
      </c>
      <c r="P22" s="32" t="s">
        <v>89</v>
      </c>
      <c r="Q22" s="32" t="s">
        <v>57</v>
      </c>
      <c r="R22" s="19" t="s">
        <v>90</v>
      </c>
      <c r="S22" s="19" t="s">
        <v>91</v>
      </c>
    </row>
    <row r="23" spans="3:19" s="1" customFormat="1" ht="12" customHeight="1">
      <c r="C23" s="30" t="s">
        <v>86</v>
      </c>
      <c r="D23" s="20" t="str">
        <f>"1.3."&amp;M23</f>
        <v>1.3.2</v>
      </c>
      <c r="E23" s="31" t="s">
        <v>92</v>
      </c>
      <c r="F23" s="8" t="s">
        <v>79</v>
      </c>
      <c r="G23" s="18">
        <f>SUM(H23:K23)</f>
        <v>4173.1509999999998</v>
      </c>
      <c r="H23" s="22"/>
      <c r="I23" s="22"/>
      <c r="J23" s="22">
        <f>493.714+'[3]Отпуск ЭЭ сет организациями'!$K$23+'[4]Отпуск ЭЭ сет организациями'!$K$23+'[5]Отпуск ЭЭ сет организациями'!$K$23+'[6]Отпуск ЭЭ сет организациями'!$K$23+'[7]Отпуск ЭЭ сет организациями'!$K$23+'[8]Отпуск ЭЭ сет организациями'!$K$23</f>
        <v>4173.1509999999998</v>
      </c>
      <c r="K23" s="22"/>
      <c r="M23" s="19" t="s">
        <v>93</v>
      </c>
      <c r="N23" s="32" t="s">
        <v>92</v>
      </c>
      <c r="O23" s="32" t="s">
        <v>94</v>
      </c>
      <c r="P23" s="32" t="s">
        <v>95</v>
      </c>
      <c r="Q23" s="32" t="s">
        <v>53</v>
      </c>
      <c r="R23" s="19" t="s">
        <v>90</v>
      </c>
      <c r="S23" s="19" t="s">
        <v>91</v>
      </c>
    </row>
    <row r="24" spans="3:19" s="1" customFormat="1" ht="12" customHeight="1">
      <c r="C24" s="30" t="s">
        <v>86</v>
      </c>
      <c r="D24" s="20" t="str">
        <f>"1.3."&amp;M24</f>
        <v>1.3.3</v>
      </c>
      <c r="E24" s="31" t="s">
        <v>96</v>
      </c>
      <c r="F24" s="8" t="s">
        <v>79</v>
      </c>
      <c r="G24" s="18">
        <f>SUM(H24:K24)</f>
        <v>60.153000000000006</v>
      </c>
      <c r="H24" s="22"/>
      <c r="I24" s="22"/>
      <c r="J24" s="22"/>
      <c r="K24" s="22">
        <f>8.956+'[3]Отпуск ЭЭ сет организациями'!$L$24+'[4]Отпуск ЭЭ сет организациями'!$L$24+'[5]Отпуск ЭЭ сет организациями'!$L$24+'[6]Отпуск ЭЭ сет организациями'!$L$24+'[7]Отпуск ЭЭ сет организациями'!$L$24+'[8]Отпуск ЭЭ сет организациями'!$L$24</f>
        <v>60.153000000000006</v>
      </c>
      <c r="M24" s="19" t="s">
        <v>97</v>
      </c>
      <c r="N24" s="32" t="s">
        <v>96</v>
      </c>
      <c r="O24" s="32" t="s">
        <v>98</v>
      </c>
      <c r="P24" s="32" t="s">
        <v>99</v>
      </c>
      <c r="Q24" s="32" t="s">
        <v>54</v>
      </c>
      <c r="R24" s="19" t="s">
        <v>90</v>
      </c>
      <c r="S24" s="19" t="s">
        <v>91</v>
      </c>
    </row>
    <row r="25" spans="3:19" s="1" customFormat="1" ht="12" customHeight="1">
      <c r="C25" s="30" t="s">
        <v>86</v>
      </c>
      <c r="D25" s="20" t="str">
        <f>"1.3."&amp;M25</f>
        <v>1.3.4</v>
      </c>
      <c r="E25" s="31" t="s">
        <v>100</v>
      </c>
      <c r="F25" s="8" t="s">
        <v>79</v>
      </c>
      <c r="G25" s="18">
        <f>SUM(H25:K25)</f>
        <v>13.766</v>
      </c>
      <c r="H25" s="22"/>
      <c r="I25" s="22"/>
      <c r="J25" s="22"/>
      <c r="K25" s="22">
        <f>0+'[3]Отпуск ЭЭ сет организациями'!$L$25+'[4]Отпуск ЭЭ сет организациями'!$L$25+'[5]Отпуск ЭЭ сет организациями'!$L$25+'[6]Отпуск ЭЭ сет организациями'!$L$25+'[7]Отпуск ЭЭ сет организациями'!$L$25+'[8]Отпуск ЭЭ сет организациями'!$L$25</f>
        <v>13.766</v>
      </c>
      <c r="M25" s="19" t="s">
        <v>101</v>
      </c>
      <c r="N25" s="32" t="s">
        <v>100</v>
      </c>
      <c r="O25" s="32" t="s">
        <v>102</v>
      </c>
      <c r="P25" s="32" t="s">
        <v>103</v>
      </c>
      <c r="Q25" s="32" t="s">
        <v>54</v>
      </c>
      <c r="R25" s="19" t="s">
        <v>90</v>
      </c>
      <c r="S25" s="19" t="s">
        <v>91</v>
      </c>
    </row>
    <row r="26" spans="3:19" ht="12" customHeight="1">
      <c r="D26" s="28"/>
      <c r="E26" s="24" t="s">
        <v>9</v>
      </c>
      <c r="F26" s="25"/>
      <c r="G26" s="26"/>
      <c r="H26" s="26"/>
      <c r="I26" s="26"/>
      <c r="J26" s="26"/>
      <c r="K26" s="27"/>
      <c r="M26" s="14"/>
      <c r="N26" s="14"/>
      <c r="O26" s="14"/>
      <c r="P26" s="14"/>
      <c r="Q26" s="14"/>
      <c r="R26" s="14"/>
      <c r="S26" s="29" t="s">
        <v>104</v>
      </c>
    </row>
    <row r="27" spans="3:19" ht="12" customHeight="1">
      <c r="D27" s="20" t="s">
        <v>105</v>
      </c>
      <c r="E27" s="21" t="s">
        <v>11</v>
      </c>
      <c r="F27" s="8" t="s">
        <v>79</v>
      </c>
      <c r="G27" s="18">
        <f>SUM(H27:K27)</f>
        <v>287010.63699999999</v>
      </c>
      <c r="H27" s="18">
        <f>SUM(H28:H34)</f>
        <v>55264.031999999999</v>
      </c>
      <c r="I27" s="18">
        <f>SUM(I28:I34)</f>
        <v>0</v>
      </c>
      <c r="J27" s="18">
        <f>SUM(J28:J34)</f>
        <v>231038.63</v>
      </c>
      <c r="K27" s="18">
        <f>SUM(K28:K34)</f>
        <v>707.97500000000002</v>
      </c>
      <c r="M27" s="14"/>
      <c r="N27" s="14"/>
      <c r="O27" s="14"/>
      <c r="P27" s="14"/>
      <c r="Q27" s="14"/>
      <c r="R27" s="14"/>
      <c r="S27" s="19" t="s">
        <v>80</v>
      </c>
    </row>
    <row r="28" spans="3:19" ht="12" hidden="1" customHeight="1">
      <c r="D28" s="23"/>
      <c r="E28" s="24"/>
      <c r="F28" s="25"/>
      <c r="G28" s="26"/>
      <c r="H28" s="26"/>
      <c r="I28" s="26"/>
      <c r="J28" s="26"/>
      <c r="K28" s="27"/>
      <c r="M28" s="19" t="s">
        <v>83</v>
      </c>
      <c r="N28" s="14"/>
      <c r="O28" s="14"/>
      <c r="P28" s="14"/>
      <c r="Q28" s="14"/>
      <c r="R28" s="14"/>
      <c r="S28" s="14"/>
    </row>
    <row r="29" spans="3:19" s="1" customFormat="1" ht="12" customHeight="1">
      <c r="C29" s="30" t="s">
        <v>86</v>
      </c>
      <c r="D29" s="20" t="str">
        <f>"1.4."&amp;M29</f>
        <v>1.4.1</v>
      </c>
      <c r="E29" s="31" t="s">
        <v>12</v>
      </c>
      <c r="F29" s="8" t="s">
        <v>79</v>
      </c>
      <c r="G29" s="18">
        <f>SUM(H29:K29)</f>
        <v>234690.19799999997</v>
      </c>
      <c r="H29" s="22">
        <f>2647.909+'[3]Отпуск ЭЭ сет организациями'!$I$29+'[4]Отпуск ЭЭ сет организациями'!$I$29+'[5]Отпуск ЭЭ сет организациями'!$I$29+'[6]Отпуск ЭЭ сет организациями'!$I$29+'[7]Отпуск ЭЭ сет организациями'!$I$29+'[8]Отпуск ЭЭ сет организациями'!$I$29</f>
        <v>23243.21</v>
      </c>
      <c r="I29" s="22"/>
      <c r="J29" s="22">
        <f>24412.518+'[3]Отпуск ЭЭ сет организациями'!$K$29+'[4]Отпуск ЭЭ сет организациями'!$K$29+'[5]Отпуск ЭЭ сет организациями'!$K$29+'[6]Отпуск ЭЭ сет организациями'!$K$29+'[7]Отпуск ЭЭ сет организациями'!$K$29+'[8]Отпуск ЭЭ сет организациями'!$K$29</f>
        <v>210739.01299999998</v>
      </c>
      <c r="K29" s="22">
        <f>88.087+'[3]Отпуск ЭЭ сет организациями'!$L$29+'[4]Отпуск ЭЭ сет организациями'!$L$29+'[5]Отпуск ЭЭ сет организациями'!$L$29+'[6]Отпуск ЭЭ сет организациями'!$L$29+'[7]Отпуск ЭЭ сет организациями'!$L$29+'[8]Отпуск ЭЭ сет организациями'!$L$29</f>
        <v>707.97500000000002</v>
      </c>
      <c r="M29" s="19" t="s">
        <v>78</v>
      </c>
      <c r="N29" s="32" t="s">
        <v>12</v>
      </c>
      <c r="O29" s="32" t="s">
        <v>106</v>
      </c>
      <c r="P29" s="32" t="s">
        <v>107</v>
      </c>
      <c r="Q29" s="32" t="s">
        <v>55</v>
      </c>
      <c r="R29" s="19" t="s">
        <v>108</v>
      </c>
      <c r="S29" s="19" t="s">
        <v>109</v>
      </c>
    </row>
    <row r="30" spans="3:19" s="1" customFormat="1" ht="12" customHeight="1">
      <c r="C30" s="30" t="s">
        <v>86</v>
      </c>
      <c r="D30" s="20" t="str">
        <f>"1.4."&amp;M30</f>
        <v>1.4.2</v>
      </c>
      <c r="E30" s="31" t="s">
        <v>13</v>
      </c>
      <c r="F30" s="8" t="s">
        <v>79</v>
      </c>
      <c r="G30" s="18">
        <f>SUM(H30:K30)</f>
        <v>1009.3579999999999</v>
      </c>
      <c r="H30" s="22"/>
      <c r="I30" s="22"/>
      <c r="J30" s="22">
        <f>126.583+'[3]Отпуск ЭЭ сет организациями'!$K$30+'[4]Отпуск ЭЭ сет организациями'!$K$30+'[5]Отпуск ЭЭ сет организациями'!$K$30+'[6]Отпуск ЭЭ сет организациями'!$K$30+'[7]Отпуск ЭЭ сет организациями'!$K$30+'[8]Отпуск ЭЭ сет организациями'!$K$30</f>
        <v>1009.3579999999999</v>
      </c>
      <c r="K30" s="22"/>
      <c r="M30" s="19" t="s">
        <v>93</v>
      </c>
      <c r="N30" s="32" t="s">
        <v>13</v>
      </c>
      <c r="O30" s="32" t="s">
        <v>110</v>
      </c>
      <c r="P30" s="32" t="s">
        <v>111</v>
      </c>
      <c r="Q30" s="32" t="s">
        <v>56</v>
      </c>
      <c r="R30" s="19" t="s">
        <v>108</v>
      </c>
      <c r="S30" s="19" t="s">
        <v>109</v>
      </c>
    </row>
    <row r="31" spans="3:19" s="1" customFormat="1" ht="12" customHeight="1">
      <c r="C31" s="30" t="s">
        <v>86</v>
      </c>
      <c r="D31" s="20" t="str">
        <f>"1.4."&amp;M31</f>
        <v>1.4.3</v>
      </c>
      <c r="E31" s="31" t="s">
        <v>52</v>
      </c>
      <c r="F31" s="8" t="s">
        <v>79</v>
      </c>
      <c r="G31" s="18">
        <f>SUM(H31:K31)</f>
        <v>25099.226999999999</v>
      </c>
      <c r="H31" s="22">
        <f>2731.622+'[3]Отпуск ЭЭ сет организациями'!$I$31+'[4]Отпуск ЭЭ сет организациями'!$I$31+'[5]Отпуск ЭЭ сет организациями'!$I$31+'[6]Отпуск ЭЭ сет организациями'!$I$31+'[7]Отпуск ЭЭ сет организациями'!$I$31+'[8]Отпуск ЭЭ сет организациями'!$I$31</f>
        <v>23356.087</v>
      </c>
      <c r="I31" s="22"/>
      <c r="J31" s="22">
        <f>185.08+'[3]Отпуск ЭЭ сет организациями'!$K$31+'[4]Отпуск ЭЭ сет организациями'!$K$31+'[5]Отпуск ЭЭ сет организациями'!$K$31+'[6]Отпуск ЭЭ сет организациями'!$K$31+'[7]Отпуск ЭЭ сет организациями'!$K$31+'[8]Отпуск ЭЭ сет организациями'!$K$31</f>
        <v>1743.1399999999999</v>
      </c>
      <c r="K31" s="22"/>
      <c r="M31" s="19" t="s">
        <v>97</v>
      </c>
      <c r="N31" s="32" t="s">
        <v>52</v>
      </c>
      <c r="O31" s="32" t="s">
        <v>112</v>
      </c>
      <c r="P31" s="32" t="s">
        <v>113</v>
      </c>
      <c r="Q31" s="32" t="s">
        <v>58</v>
      </c>
      <c r="R31" s="19" t="s">
        <v>108</v>
      </c>
      <c r="S31" s="19" t="s">
        <v>109</v>
      </c>
    </row>
    <row r="32" spans="3:19" s="1" customFormat="1" ht="12" customHeight="1">
      <c r="C32" s="30" t="s">
        <v>86</v>
      </c>
      <c r="D32" s="20" t="str">
        <f>"1.4."&amp;M32</f>
        <v>1.4.4</v>
      </c>
      <c r="E32" s="31" t="s">
        <v>14</v>
      </c>
      <c r="F32" s="8" t="s">
        <v>79</v>
      </c>
      <c r="G32" s="18">
        <f>SUM(H32:K32)</f>
        <v>8664.7350000000006</v>
      </c>
      <c r="H32" s="22">
        <f>0+'[3]Отпуск ЭЭ сет организациями'!$I$32+'[4]Отпуск ЭЭ сет организациями'!$I$32+'[5]Отпуск ЭЭ сет организациями'!$I$32+'[6]Отпуск ЭЭ сет организациями'!$I$32+'[7]Отпуск ЭЭ сет организациями'!$I$32+'[8]Отпуск ЭЭ сет организациями'!$I$32</f>
        <v>8664.7350000000006</v>
      </c>
      <c r="I32" s="22"/>
      <c r="J32" s="22"/>
      <c r="K32" s="22"/>
      <c r="M32" s="19" t="s">
        <v>101</v>
      </c>
      <c r="N32" s="32" t="s">
        <v>14</v>
      </c>
      <c r="O32" s="32" t="s">
        <v>114</v>
      </c>
      <c r="P32" s="32" t="s">
        <v>115</v>
      </c>
      <c r="Q32" s="32" t="s">
        <v>59</v>
      </c>
      <c r="R32" s="19" t="s">
        <v>108</v>
      </c>
      <c r="S32" s="19" t="s">
        <v>109</v>
      </c>
    </row>
    <row r="33" spans="3:19" s="1" customFormat="1" ht="12" customHeight="1">
      <c r="C33" s="30" t="s">
        <v>86</v>
      </c>
      <c r="D33" s="20" t="str">
        <f>"1.4."&amp;M33</f>
        <v>1.4.5</v>
      </c>
      <c r="E33" s="31" t="s">
        <v>116</v>
      </c>
      <c r="F33" s="8" t="s">
        <v>79</v>
      </c>
      <c r="G33" s="18">
        <f>SUM(H33:K33)</f>
        <v>17547.118999999999</v>
      </c>
      <c r="H33" s="22"/>
      <c r="I33" s="22"/>
      <c r="J33" s="22">
        <f>2449.26+'[3]Отпуск ЭЭ сет организациями'!$K$33+'[4]Отпуск ЭЭ сет организациями'!$K$33+'[5]Отпуск ЭЭ сет организациями'!$K$33+'[6]Отпуск ЭЭ сет организациями'!$K$33+'[7]Отпуск ЭЭ сет организациями'!$K$33+'[8]Отпуск ЭЭ сет организациями'!$K$33</f>
        <v>17547.118999999999</v>
      </c>
      <c r="K33" s="22"/>
      <c r="M33" s="19" t="s">
        <v>117</v>
      </c>
      <c r="N33" s="32" t="s">
        <v>116</v>
      </c>
      <c r="O33" s="32" t="s">
        <v>118</v>
      </c>
      <c r="P33" s="32" t="s">
        <v>119</v>
      </c>
      <c r="Q33" s="32" t="s">
        <v>120</v>
      </c>
      <c r="R33" s="19" t="s">
        <v>108</v>
      </c>
      <c r="S33" s="19" t="s">
        <v>109</v>
      </c>
    </row>
    <row r="34" spans="3:19" ht="12" customHeight="1">
      <c r="D34" s="28"/>
      <c r="E34" s="24" t="s">
        <v>9</v>
      </c>
      <c r="F34" s="25"/>
      <c r="G34" s="26"/>
      <c r="H34" s="26"/>
      <c r="I34" s="26"/>
      <c r="J34" s="26"/>
      <c r="K34" s="27"/>
      <c r="M34" s="14"/>
      <c r="N34" s="14"/>
      <c r="O34" s="14"/>
      <c r="P34" s="14"/>
      <c r="Q34" s="14"/>
      <c r="R34" s="14"/>
      <c r="S34" s="29" t="s">
        <v>121</v>
      </c>
    </row>
    <row r="35" spans="3:19" ht="12" customHeight="1">
      <c r="D35" s="15" t="s">
        <v>93</v>
      </c>
      <c r="E35" s="16" t="s">
        <v>15</v>
      </c>
      <c r="F35" s="17" t="s">
        <v>79</v>
      </c>
      <c r="G35" s="18">
        <f t="shared" ref="G35:G47" si="0">SUM(H35:K35)</f>
        <v>161734.49200000003</v>
      </c>
      <c r="H35" s="18">
        <f>SUM(H37,H38,H39)</f>
        <v>0</v>
      </c>
      <c r="I35" s="18">
        <f>SUM(I36,I38,I39)</f>
        <v>0</v>
      </c>
      <c r="J35" s="18">
        <f>SUM(J36,J37,J39)</f>
        <v>0</v>
      </c>
      <c r="K35" s="18">
        <f>SUM(K36,K37,K38)</f>
        <v>161734.49200000003</v>
      </c>
      <c r="M35" s="14"/>
      <c r="N35" s="14"/>
      <c r="O35" s="14"/>
      <c r="P35" s="14"/>
      <c r="Q35" s="14"/>
      <c r="R35" s="14"/>
      <c r="S35" s="19" t="s">
        <v>80</v>
      </c>
    </row>
    <row r="36" spans="3:19" ht="12" customHeight="1">
      <c r="D36" s="20" t="s">
        <v>122</v>
      </c>
      <c r="E36" s="21" t="s">
        <v>2</v>
      </c>
      <c r="F36" s="8" t="s">
        <v>79</v>
      </c>
      <c r="G36" s="18">
        <f t="shared" si="0"/>
        <v>392.26500000000101</v>
      </c>
      <c r="H36" s="33"/>
      <c r="I36" s="22"/>
      <c r="J36" s="22"/>
      <c r="K36" s="22">
        <f>H15-H41-H57</f>
        <v>392.26500000000101</v>
      </c>
      <c r="M36" s="14"/>
      <c r="N36" s="14"/>
      <c r="O36" s="14"/>
      <c r="P36" s="14"/>
      <c r="Q36" s="14"/>
      <c r="R36" s="14"/>
      <c r="S36" s="19" t="s">
        <v>80</v>
      </c>
    </row>
    <row r="37" spans="3:19" ht="12" customHeight="1">
      <c r="D37" s="20" t="s">
        <v>123</v>
      </c>
      <c r="E37" s="21" t="s">
        <v>3</v>
      </c>
      <c r="F37" s="8" t="s">
        <v>79</v>
      </c>
      <c r="G37" s="18">
        <f t="shared" si="0"/>
        <v>0</v>
      </c>
      <c r="H37" s="22"/>
      <c r="I37" s="33"/>
      <c r="J37" s="22"/>
      <c r="K37" s="22"/>
      <c r="M37" s="14"/>
      <c r="N37" s="14"/>
      <c r="O37" s="14"/>
      <c r="P37" s="14"/>
      <c r="Q37" s="14"/>
      <c r="R37" s="14"/>
      <c r="S37" s="19" t="s">
        <v>80</v>
      </c>
    </row>
    <row r="38" spans="3:19" ht="12" customHeight="1">
      <c r="D38" s="20" t="s">
        <v>124</v>
      </c>
      <c r="E38" s="21" t="s">
        <v>4</v>
      </c>
      <c r="F38" s="8" t="s">
        <v>79</v>
      </c>
      <c r="G38" s="18">
        <f t="shared" si="0"/>
        <v>161342.22700000001</v>
      </c>
      <c r="H38" s="22"/>
      <c r="I38" s="22"/>
      <c r="J38" s="33"/>
      <c r="K38" s="22">
        <f>J15-J41-J57</f>
        <v>161342.22700000001</v>
      </c>
      <c r="M38" s="14"/>
      <c r="N38" s="14"/>
      <c r="O38" s="14"/>
      <c r="P38" s="14"/>
      <c r="Q38" s="14"/>
      <c r="R38" s="14"/>
      <c r="S38" s="19" t="s">
        <v>80</v>
      </c>
    </row>
    <row r="39" spans="3:19" ht="12" customHeight="1">
      <c r="D39" s="20" t="s">
        <v>125</v>
      </c>
      <c r="E39" s="21" t="s">
        <v>16</v>
      </c>
      <c r="F39" s="8" t="s">
        <v>79</v>
      </c>
      <c r="G39" s="18">
        <f t="shared" si="0"/>
        <v>0</v>
      </c>
      <c r="H39" s="22"/>
      <c r="I39" s="22"/>
      <c r="J39" s="22"/>
      <c r="K39" s="33"/>
      <c r="M39" s="14"/>
      <c r="N39" s="14"/>
      <c r="O39" s="14"/>
      <c r="P39" s="14"/>
      <c r="Q39" s="14"/>
      <c r="R39" s="14"/>
      <c r="S39" s="19" t="s">
        <v>80</v>
      </c>
    </row>
    <row r="40" spans="3:19" ht="12" customHeight="1">
      <c r="D40" s="15" t="s">
        <v>97</v>
      </c>
      <c r="E40" s="16" t="s">
        <v>17</v>
      </c>
      <c r="F40" s="17" t="s">
        <v>79</v>
      </c>
      <c r="G40" s="18">
        <f t="shared" si="0"/>
        <v>0</v>
      </c>
      <c r="H40" s="22"/>
      <c r="I40" s="22"/>
      <c r="J40" s="22"/>
      <c r="K40" s="22"/>
      <c r="M40" s="14"/>
      <c r="N40" s="14"/>
      <c r="O40" s="14"/>
      <c r="P40" s="14"/>
      <c r="Q40" s="14"/>
      <c r="R40" s="14"/>
      <c r="S40" s="19" t="s">
        <v>80</v>
      </c>
    </row>
    <row r="41" spans="3:19" ht="12" customHeight="1">
      <c r="D41" s="15" t="s">
        <v>101</v>
      </c>
      <c r="E41" s="16" t="s">
        <v>18</v>
      </c>
      <c r="F41" s="17" t="s">
        <v>79</v>
      </c>
      <c r="G41" s="18">
        <f t="shared" si="0"/>
        <v>267916.875</v>
      </c>
      <c r="H41" s="18">
        <f>SUM(H42,H44,H47,H53)</f>
        <v>53688.544999999998</v>
      </c>
      <c r="I41" s="18">
        <f>SUM(I42,I44,I47,I53)</f>
        <v>0</v>
      </c>
      <c r="J41" s="18">
        <f>SUM(J42,J44,J47,J53)</f>
        <v>58991.255999999994</v>
      </c>
      <c r="K41" s="18">
        <f>SUM(K42,K44,K47,K53)</f>
        <v>155237.07400000002</v>
      </c>
      <c r="M41" s="14"/>
      <c r="N41" s="14"/>
      <c r="O41" s="14"/>
      <c r="P41" s="14"/>
      <c r="Q41" s="14"/>
      <c r="R41" s="14"/>
      <c r="S41" s="19" t="s">
        <v>80</v>
      </c>
    </row>
    <row r="42" spans="3:19" ht="24" customHeight="1">
      <c r="D42" s="20" t="s">
        <v>126</v>
      </c>
      <c r="E42" s="21" t="s">
        <v>127</v>
      </c>
      <c r="F42" s="8" t="s">
        <v>79</v>
      </c>
      <c r="G42" s="18">
        <f t="shared" si="0"/>
        <v>0</v>
      </c>
      <c r="H42" s="22"/>
      <c r="I42" s="22"/>
      <c r="J42" s="22"/>
      <c r="K42" s="22"/>
      <c r="M42" s="14"/>
      <c r="N42" s="14"/>
      <c r="O42" s="14"/>
      <c r="P42" s="14"/>
      <c r="Q42" s="14"/>
      <c r="R42" s="14"/>
      <c r="S42" s="19" t="s">
        <v>80</v>
      </c>
    </row>
    <row r="43" spans="3:19" ht="12" customHeight="1">
      <c r="D43" s="20" t="s">
        <v>128</v>
      </c>
      <c r="E43" s="34" t="s">
        <v>129</v>
      </c>
      <c r="F43" s="8" t="s">
        <v>79</v>
      </c>
      <c r="G43" s="18">
        <f t="shared" si="0"/>
        <v>0</v>
      </c>
      <c r="H43" s="22"/>
      <c r="I43" s="22"/>
      <c r="J43" s="22"/>
      <c r="K43" s="22"/>
      <c r="M43" s="14"/>
      <c r="N43" s="14"/>
      <c r="O43" s="14"/>
      <c r="P43" s="14"/>
      <c r="Q43" s="14"/>
      <c r="R43" s="14"/>
      <c r="S43" s="19" t="s">
        <v>80</v>
      </c>
    </row>
    <row r="44" spans="3:19" ht="12" customHeight="1">
      <c r="D44" s="20" t="s">
        <v>130</v>
      </c>
      <c r="E44" s="21" t="s">
        <v>19</v>
      </c>
      <c r="F44" s="8" t="s">
        <v>79</v>
      </c>
      <c r="G44" s="18">
        <f t="shared" si="0"/>
        <v>128904.443</v>
      </c>
      <c r="H44" s="22">
        <f>H45</f>
        <v>53688.544999999998</v>
      </c>
      <c r="I44" s="22"/>
      <c r="J44" s="22">
        <f>J45</f>
        <v>39481.316999999995</v>
      </c>
      <c r="K44" s="22">
        <f>K45</f>
        <v>35734.581000000006</v>
      </c>
      <c r="M44" s="14"/>
      <c r="N44" s="14"/>
      <c r="O44" s="14"/>
      <c r="P44" s="14"/>
      <c r="Q44" s="14"/>
      <c r="R44" s="14"/>
      <c r="S44" s="19" t="s">
        <v>80</v>
      </c>
    </row>
    <row r="45" spans="3:19" ht="12" customHeight="1">
      <c r="D45" s="20" t="s">
        <v>131</v>
      </c>
      <c r="E45" s="34" t="s">
        <v>20</v>
      </c>
      <c r="F45" s="8" t="s">
        <v>79</v>
      </c>
      <c r="G45" s="18">
        <f t="shared" si="0"/>
        <v>128904.443</v>
      </c>
      <c r="H45" s="22">
        <f>5202.886+'[3]Отпуск ЭЭ сет организациями'!$I$45+'[4]Отпуск ЭЭ сет организациями'!$I$45+'[5]Отпуск ЭЭ сет организациями'!$I$45+'[6]Отпуск ЭЭ сет организациями'!$I$45+'[7]Отпуск ЭЭ сет организациями'!$I$45+'[8]Отпуск ЭЭ сет организациями'!$I$45</f>
        <v>53688.544999999998</v>
      </c>
      <c r="I45" s="22"/>
      <c r="J45" s="22">
        <f>4161.019+'[3]Отпуск ЭЭ сет организациями'!$K$45+'[4]Отпуск ЭЭ сет организациями'!$K$45+'[5]Отпуск ЭЭ сет организациями'!$K$45+'[6]Отпуск ЭЭ сет организациями'!$K$45+'[7]Отпуск ЭЭ сет организациями'!$K$45+'[8]Отпуск ЭЭ сет организациями'!$K$45</f>
        <v>39481.316999999995</v>
      </c>
      <c r="K45" s="22">
        <f>3883.871+'[3]Отпуск ЭЭ сет организациями'!$L$45+'[4]Отпуск ЭЭ сет организациями'!$L$45+'[5]Отпуск ЭЭ сет организациями'!$L$45+'[6]Отпуск ЭЭ сет организациями'!$L$45+'[7]Отпуск ЭЭ сет организациями'!$L$45+'[8]Отпуск ЭЭ сет организациями'!$L$45</f>
        <v>35734.581000000006</v>
      </c>
      <c r="M45" s="14"/>
      <c r="N45" s="14"/>
      <c r="O45" s="14"/>
      <c r="P45" s="14"/>
      <c r="Q45" s="14"/>
      <c r="R45" s="14"/>
      <c r="S45" s="19" t="s">
        <v>80</v>
      </c>
    </row>
    <row r="46" spans="3:19" ht="12" customHeight="1">
      <c r="D46" s="20" t="s">
        <v>132</v>
      </c>
      <c r="E46" s="35" t="s">
        <v>133</v>
      </c>
      <c r="F46" s="8" t="s">
        <v>79</v>
      </c>
      <c r="G46" s="18">
        <f t="shared" si="0"/>
        <v>0</v>
      </c>
      <c r="H46" s="22"/>
      <c r="I46" s="22"/>
      <c r="J46" s="22"/>
      <c r="K46" s="22"/>
      <c r="M46" s="14"/>
      <c r="N46" s="14"/>
      <c r="O46" s="14"/>
      <c r="P46" s="14"/>
      <c r="Q46" s="14"/>
      <c r="R46" s="14"/>
      <c r="S46" s="19" t="s">
        <v>80</v>
      </c>
    </row>
    <row r="47" spans="3:19" ht="12" customHeight="1">
      <c r="D47" s="20" t="s">
        <v>134</v>
      </c>
      <c r="E47" s="21" t="s">
        <v>21</v>
      </c>
      <c r="F47" s="8" t="s">
        <v>79</v>
      </c>
      <c r="G47" s="18">
        <f t="shared" si="0"/>
        <v>5642.802999999999</v>
      </c>
      <c r="H47" s="18">
        <f>SUM(H48:H52)</f>
        <v>0</v>
      </c>
      <c r="I47" s="18">
        <f>SUM(I48:I52)</f>
        <v>0</v>
      </c>
      <c r="J47" s="18">
        <f>SUM(J48:J52)</f>
        <v>4721.1929999999993</v>
      </c>
      <c r="K47" s="18">
        <f>SUM(K48:K52)</f>
        <v>921.6099999999999</v>
      </c>
      <c r="M47" s="14"/>
      <c r="N47" s="14"/>
      <c r="O47" s="14"/>
      <c r="P47" s="14"/>
      <c r="Q47" s="14"/>
      <c r="R47" s="14"/>
      <c r="S47" s="19" t="s">
        <v>80</v>
      </c>
    </row>
    <row r="48" spans="3:19" ht="12" hidden="1" customHeight="1">
      <c r="D48" s="23"/>
      <c r="E48" s="24"/>
      <c r="F48" s="25"/>
      <c r="G48" s="26"/>
      <c r="H48" s="26"/>
      <c r="I48" s="26"/>
      <c r="J48" s="26"/>
      <c r="K48" s="27"/>
      <c r="M48" s="19" t="s">
        <v>83</v>
      </c>
      <c r="N48" s="14"/>
      <c r="O48" s="14"/>
      <c r="P48" s="14"/>
      <c r="Q48" s="14"/>
      <c r="R48" s="14"/>
      <c r="S48" s="14"/>
    </row>
    <row r="49" spans="3:19" s="1" customFormat="1" ht="12" customHeight="1">
      <c r="C49" s="30" t="s">
        <v>86</v>
      </c>
      <c r="D49" s="20" t="str">
        <f>"4.3."&amp;M49</f>
        <v>4.3.1</v>
      </c>
      <c r="E49" s="31" t="s">
        <v>12</v>
      </c>
      <c r="F49" s="8" t="s">
        <v>79</v>
      </c>
      <c r="G49" s="18">
        <f>SUM(H49:K49)</f>
        <v>3839.9679999999994</v>
      </c>
      <c r="H49" s="22"/>
      <c r="I49" s="22"/>
      <c r="J49" s="22">
        <f>420.339+'[3]Отпуск ЭЭ сет организациями'!$K$49+'[4]Отпуск ЭЭ сет организациями'!$K$49+'[5]Отпуск ЭЭ сет организациями'!$K$49+'[6]Отпуск ЭЭ сет организациями'!$K$49+'[7]Отпуск ЭЭ сет организациями'!$K$49+'[8]Отпуск ЭЭ сет организациями'!$K$49</f>
        <v>3244.6849999999995</v>
      </c>
      <c r="K49" s="22">
        <f>50.263+'[3]Отпуск ЭЭ сет организациями'!$L$49+'[4]Отпуск ЭЭ сет организациями'!$L$49+'[5]Отпуск ЭЭ сет организациями'!$L$49+'[6]Отпуск ЭЭ сет организациями'!$L$49+'[7]Отпуск ЭЭ сет организациями'!$L$49+'[8]Отпуск ЭЭ сет организациями'!$L$49</f>
        <v>595.2829999999999</v>
      </c>
      <c r="M49" s="19" t="s">
        <v>78</v>
      </c>
      <c r="N49" s="32" t="s">
        <v>12</v>
      </c>
      <c r="O49" s="32" t="s">
        <v>106</v>
      </c>
      <c r="P49" s="32" t="s">
        <v>107</v>
      </c>
      <c r="Q49" s="32" t="s">
        <v>55</v>
      </c>
      <c r="R49" s="19" t="s">
        <v>108</v>
      </c>
      <c r="S49" s="19" t="s">
        <v>135</v>
      </c>
    </row>
    <row r="50" spans="3:19" s="1" customFormat="1" ht="12" customHeight="1">
      <c r="C50" s="30" t="s">
        <v>86</v>
      </c>
      <c r="D50" s="20" t="str">
        <f>"4.3."&amp;M50</f>
        <v>4.3.2</v>
      </c>
      <c r="E50" s="31" t="s">
        <v>52</v>
      </c>
      <c r="F50" s="8" t="s">
        <v>79</v>
      </c>
      <c r="G50" s="18">
        <f>SUM(H50:K50)</f>
        <v>1775.5279999999998</v>
      </c>
      <c r="H50" s="22"/>
      <c r="I50" s="22"/>
      <c r="J50" s="22">
        <f>174.297+'[3]Отпуск ЭЭ сет организациями'!$K$50+'[4]Отпуск ЭЭ сет организациями'!$K$50+'[5]Отпуск ЭЭ сет организациями'!$K$50+'[6]Отпуск ЭЭ сет организациями'!$K$50+'[7]Отпуск ЭЭ сет организациями'!$K$50+'[8]Отпуск ЭЭ сет организациями'!$K$50</f>
        <v>1449.2009999999998</v>
      </c>
      <c r="K50" s="22">
        <f>27.005+'[3]Отпуск ЭЭ сет организациями'!$L$50+'[4]Отпуск ЭЭ сет организациями'!$L$50+'[5]Отпуск ЭЭ сет организациями'!$L$50+'[6]Отпуск ЭЭ сет организациями'!$L$50+'[7]Отпуск ЭЭ сет организациями'!$L$50+'[8]Отпуск ЭЭ сет организациями'!$L$50</f>
        <v>326.327</v>
      </c>
      <c r="M50" s="19" t="s">
        <v>93</v>
      </c>
      <c r="N50" s="32" t="s">
        <v>52</v>
      </c>
      <c r="O50" s="32" t="s">
        <v>112</v>
      </c>
      <c r="P50" s="32" t="s">
        <v>113</v>
      </c>
      <c r="Q50" s="32" t="s">
        <v>58</v>
      </c>
      <c r="R50" s="19" t="s">
        <v>108</v>
      </c>
      <c r="S50" s="19" t="s">
        <v>135</v>
      </c>
    </row>
    <row r="51" spans="3:19" s="1" customFormat="1" ht="12" customHeight="1">
      <c r="C51" s="30" t="s">
        <v>86</v>
      </c>
      <c r="D51" s="20" t="str">
        <f>"4.3."&amp;M51</f>
        <v>4.3.3</v>
      </c>
      <c r="E51" s="31" t="s">
        <v>50</v>
      </c>
      <c r="F51" s="8" t="s">
        <v>79</v>
      </c>
      <c r="G51" s="18">
        <f>SUM(H51:K51)</f>
        <v>27.306999999999999</v>
      </c>
      <c r="H51" s="22"/>
      <c r="I51" s="22"/>
      <c r="J51" s="22">
        <f>2.392+'[3]Отпуск ЭЭ сет организациями'!$K$51+'[4]Отпуск ЭЭ сет организациями'!$K$51+'[5]Отпуск ЭЭ сет организациями'!$K$51+'[6]Отпуск ЭЭ сет организациями'!$K$51+'[7]Отпуск ЭЭ сет организациями'!$K$51+'[8]Отпуск ЭЭ сет организациями'!$K$51</f>
        <v>27.306999999999999</v>
      </c>
      <c r="K51" s="22"/>
      <c r="M51" s="19" t="s">
        <v>97</v>
      </c>
      <c r="N51" s="32" t="s">
        <v>50</v>
      </c>
      <c r="O51" s="32" t="s">
        <v>136</v>
      </c>
      <c r="P51" s="32" t="s">
        <v>137</v>
      </c>
      <c r="Q51" s="32" t="s">
        <v>60</v>
      </c>
      <c r="R51" s="19" t="s">
        <v>108</v>
      </c>
      <c r="S51" s="19" t="s">
        <v>135</v>
      </c>
    </row>
    <row r="52" spans="3:19" ht="12" customHeight="1">
      <c r="D52" s="28"/>
      <c r="E52" s="24" t="s">
        <v>9</v>
      </c>
      <c r="F52" s="25"/>
      <c r="G52" s="26"/>
      <c r="H52" s="26"/>
      <c r="I52" s="26"/>
      <c r="J52" s="26"/>
      <c r="K52" s="27"/>
      <c r="M52" s="14"/>
      <c r="N52" s="14"/>
      <c r="O52" s="14"/>
      <c r="P52" s="14"/>
      <c r="Q52" s="14"/>
      <c r="R52" s="14"/>
      <c r="S52" s="29" t="s">
        <v>138</v>
      </c>
    </row>
    <row r="53" spans="3:19" ht="12" customHeight="1">
      <c r="D53" s="20" t="s">
        <v>139</v>
      </c>
      <c r="E53" s="21" t="s">
        <v>140</v>
      </c>
      <c r="F53" s="8" t="s">
        <v>79</v>
      </c>
      <c r="G53" s="18">
        <f t="shared" ref="G53:G63" si="1">SUM(H53:K53)</f>
        <v>133369.62900000002</v>
      </c>
      <c r="H53" s="22"/>
      <c r="I53" s="22"/>
      <c r="J53" s="22">
        <f>2014.273+'[3]Отпуск ЭЭ сет организациями'!$K$53+'[4]Отпуск ЭЭ сет организациями'!$K$53+'[5]Отпуск ЭЭ сет организациями'!$K$53+'[6]Отпуск ЭЭ сет организациями'!$K$53+'[7]Отпуск ЭЭ сет организациями'!$K$53+'[8]Отпуск ЭЭ сет организациями'!$K$53</f>
        <v>14788.745999999999</v>
      </c>
      <c r="K53" s="22">
        <f>12620.159+'[3]Отпуск ЭЭ сет организациями'!$L$53+'[4]Отпуск ЭЭ сет организациями'!$L$53+'[5]Отпуск ЭЭ сет организациями'!$L$53+'[6]Отпуск ЭЭ сет организациями'!$L$53+'[7]Отпуск ЭЭ сет организациями'!$L$53+'[8]Отпуск ЭЭ сет организациями'!$L$53</f>
        <v>118580.883</v>
      </c>
      <c r="M53" s="14"/>
      <c r="N53" s="14"/>
      <c r="O53" s="14"/>
      <c r="P53" s="14"/>
      <c r="Q53" s="14"/>
      <c r="R53" s="14"/>
      <c r="S53" s="19" t="s">
        <v>80</v>
      </c>
    </row>
    <row r="54" spans="3:19" ht="12" customHeight="1">
      <c r="D54" s="15" t="s">
        <v>117</v>
      </c>
      <c r="E54" s="16" t="s">
        <v>22</v>
      </c>
      <c r="F54" s="17" t="s">
        <v>79</v>
      </c>
      <c r="G54" s="18">
        <f t="shared" si="1"/>
        <v>161734.49200000003</v>
      </c>
      <c r="H54" s="22">
        <f>K36</f>
        <v>392.26500000000101</v>
      </c>
      <c r="I54" s="22"/>
      <c r="J54" s="22">
        <f>K38</f>
        <v>161342.22700000001</v>
      </c>
      <c r="K54" s="22"/>
      <c r="M54" s="14"/>
      <c r="N54" s="14"/>
      <c r="O54" s="14"/>
      <c r="P54" s="14"/>
      <c r="Q54" s="14"/>
      <c r="R54" s="14"/>
      <c r="S54" s="19" t="s">
        <v>80</v>
      </c>
    </row>
    <row r="55" spans="3:19" ht="12" customHeight="1">
      <c r="D55" s="15" t="s">
        <v>141</v>
      </c>
      <c r="E55" s="16" t="s">
        <v>23</v>
      </c>
      <c r="F55" s="17" t="s">
        <v>79</v>
      </c>
      <c r="G55" s="18">
        <f t="shared" si="1"/>
        <v>0</v>
      </c>
      <c r="H55" s="22"/>
      <c r="I55" s="22"/>
      <c r="J55" s="22"/>
      <c r="K55" s="22"/>
      <c r="M55" s="14"/>
      <c r="N55" s="14"/>
      <c r="O55" s="14"/>
      <c r="P55" s="14"/>
      <c r="Q55" s="14"/>
      <c r="R55" s="14"/>
      <c r="S55" s="19" t="s">
        <v>80</v>
      </c>
    </row>
    <row r="56" spans="3:19" ht="12" customHeight="1">
      <c r="D56" s="15" t="s">
        <v>142</v>
      </c>
      <c r="E56" s="16" t="s">
        <v>24</v>
      </c>
      <c r="F56" s="17" t="s">
        <v>79</v>
      </c>
      <c r="G56" s="18">
        <f t="shared" si="1"/>
        <v>0</v>
      </c>
      <c r="H56" s="22"/>
      <c r="I56" s="22"/>
      <c r="J56" s="22"/>
      <c r="K56" s="22"/>
      <c r="M56" s="14"/>
      <c r="N56" s="14"/>
      <c r="O56" s="14"/>
      <c r="P56" s="14"/>
      <c r="Q56" s="14"/>
      <c r="R56" s="14"/>
      <c r="S56" s="19" t="s">
        <v>80</v>
      </c>
    </row>
    <row r="57" spans="3:19" ht="12" customHeight="1">
      <c r="D57" s="15" t="s">
        <v>143</v>
      </c>
      <c r="E57" s="16" t="s">
        <v>144</v>
      </c>
      <c r="F57" s="17" t="s">
        <v>79</v>
      </c>
      <c r="G57" s="18">
        <f t="shared" si="1"/>
        <v>23625.895</v>
      </c>
      <c r="H57" s="22">
        <f>H59</f>
        <v>1183.222</v>
      </c>
      <c r="I57" s="22"/>
      <c r="J57" s="22">
        <f>J59</f>
        <v>15163.361000000001</v>
      </c>
      <c r="K57" s="22">
        <f>K59</f>
        <v>7279.3119999999999</v>
      </c>
      <c r="M57" s="14"/>
      <c r="N57" s="14"/>
      <c r="O57" s="14"/>
      <c r="P57" s="14"/>
      <c r="Q57" s="14"/>
      <c r="R57" s="14"/>
      <c r="S57" s="19" t="s">
        <v>80</v>
      </c>
    </row>
    <row r="58" spans="3:19" ht="12" customHeight="1">
      <c r="D58" s="20" t="s">
        <v>145</v>
      </c>
      <c r="E58" s="21" t="s">
        <v>25</v>
      </c>
      <c r="F58" s="8" t="s">
        <v>79</v>
      </c>
      <c r="G58" s="18">
        <f t="shared" si="1"/>
        <v>0</v>
      </c>
      <c r="H58" s="22"/>
      <c r="I58" s="22"/>
      <c r="J58" s="22"/>
      <c r="K58" s="22"/>
      <c r="M58" s="14"/>
      <c r="N58" s="14"/>
      <c r="O58" s="14"/>
      <c r="P58" s="14"/>
      <c r="Q58" s="14"/>
      <c r="R58" s="14"/>
      <c r="S58" s="19" t="s">
        <v>80</v>
      </c>
    </row>
    <row r="59" spans="3:19" ht="12" customHeight="1">
      <c r="D59" s="15" t="s">
        <v>146</v>
      </c>
      <c r="E59" s="16" t="s">
        <v>147</v>
      </c>
      <c r="F59" s="17" t="s">
        <v>79</v>
      </c>
      <c r="G59" s="18">
        <f t="shared" si="1"/>
        <v>23625.895</v>
      </c>
      <c r="H59" s="22">
        <f>121.303+'[3]Отпуск ЭЭ сет организациями'!$I$59+'[4]Отпуск ЭЭ сет организациями'!$I$59+'[5]Отпуск ЭЭ сет организациями'!$I$59+'[6]Отпуск ЭЭ сет организациями'!$I$59+'[7]Отпуск ЭЭ сет организациями'!$I$59+'[8]Отпуск ЭЭ сет организациями'!$I$59</f>
        <v>1183.222</v>
      </c>
      <c r="I59" s="22"/>
      <c r="J59" s="22">
        <f>2732.135+'[3]Отпуск ЭЭ сет организациями'!$K$59+'[4]Отпуск ЭЭ сет организациями'!$K$59+'[5]Отпуск ЭЭ сет организациями'!$K$59+'[6]Отпуск ЭЭ сет организациями'!$K$59+'[7]Отпуск ЭЭ сет организациями'!$K$59+'[8]Отпуск ЭЭ сет организациями'!$K$59</f>
        <v>15163.361000000001</v>
      </c>
      <c r="K59" s="22">
        <f>1769.575+'[3]Отпуск ЭЭ сет организациями'!$L$59+'[4]Отпуск ЭЭ сет организациями'!$L$59+'[5]Отпуск ЭЭ сет организациями'!$L$59+'[6]Отпуск ЭЭ сет организациями'!$L$59+'[7]Отпуск ЭЭ сет организациями'!$L$59+'[8]Отпуск ЭЭ сет организациями'!$L$59</f>
        <v>7279.3119999999999</v>
      </c>
      <c r="M59" s="14"/>
      <c r="N59" s="14"/>
      <c r="O59" s="14"/>
      <c r="P59" s="14"/>
      <c r="Q59" s="14"/>
      <c r="R59" s="14"/>
      <c r="S59" s="19" t="s">
        <v>80</v>
      </c>
    </row>
    <row r="60" spans="3:19" ht="24" customHeight="1">
      <c r="D60" s="15" t="s">
        <v>148</v>
      </c>
      <c r="E60" s="16" t="s">
        <v>149</v>
      </c>
      <c r="F60" s="17" t="s">
        <v>79</v>
      </c>
      <c r="G60" s="18">
        <f t="shared" si="1"/>
        <v>0</v>
      </c>
      <c r="H60" s="18">
        <f>H57-H59</f>
        <v>0</v>
      </c>
      <c r="I60" s="18">
        <f>I57-I59</f>
        <v>0</v>
      </c>
      <c r="J60" s="18">
        <f>J57-J59</f>
        <v>0</v>
      </c>
      <c r="K60" s="18">
        <f>K57-K59</f>
        <v>0</v>
      </c>
      <c r="M60" s="14"/>
      <c r="N60" s="14"/>
      <c r="O60" s="14"/>
      <c r="P60" s="14"/>
      <c r="Q60" s="14"/>
      <c r="R60" s="14"/>
      <c r="S60" s="19" t="s">
        <v>80</v>
      </c>
    </row>
    <row r="61" spans="3:19" ht="24" customHeight="1">
      <c r="D61" s="15">
        <v>11</v>
      </c>
      <c r="E61" s="16" t="s">
        <v>61</v>
      </c>
      <c r="F61" s="17" t="s">
        <v>79</v>
      </c>
      <c r="G61" s="18">
        <v>63.19</v>
      </c>
      <c r="H61" s="18"/>
      <c r="I61" s="18"/>
      <c r="J61" s="18"/>
      <c r="K61" s="18"/>
      <c r="M61" s="14"/>
      <c r="N61" s="14"/>
      <c r="O61" s="14"/>
      <c r="P61" s="14"/>
      <c r="Q61" s="14"/>
      <c r="R61" s="14"/>
      <c r="S61" s="19"/>
    </row>
    <row r="62" spans="3:19" ht="24" customHeight="1">
      <c r="D62" s="15">
        <v>12</v>
      </c>
      <c r="E62" s="16" t="s">
        <v>49</v>
      </c>
      <c r="F62" s="17"/>
      <c r="G62" s="18">
        <v>15.86</v>
      </c>
      <c r="H62" s="18"/>
      <c r="I62" s="18"/>
      <c r="J62" s="18"/>
      <c r="K62" s="18"/>
      <c r="M62" s="14"/>
      <c r="N62" s="14"/>
      <c r="O62" s="14"/>
      <c r="P62" s="14"/>
      <c r="Q62" s="14"/>
      <c r="R62" s="14"/>
      <c r="S62" s="19"/>
    </row>
    <row r="63" spans="3:19" ht="12" customHeight="1">
      <c r="D63" s="15">
        <v>13</v>
      </c>
      <c r="E63" s="16" t="s">
        <v>26</v>
      </c>
      <c r="F63" s="17" t="s">
        <v>79</v>
      </c>
      <c r="G63" s="18">
        <f t="shared" si="1"/>
        <v>0</v>
      </c>
      <c r="H63" s="18">
        <f>SUM(H15,H35,H40)-SUM(H41,H54:H57)</f>
        <v>0</v>
      </c>
      <c r="I63" s="18">
        <f>SUM(I15,I35,I40)-SUM(I41,I54:I57)</f>
        <v>0</v>
      </c>
      <c r="J63" s="18">
        <f>SUM(J15,J35,J40)-SUM(J41,J54:J57)</f>
        <v>0</v>
      </c>
      <c r="K63" s="18">
        <f>SUM(K15,K35,K40)-SUM(K41,K54:K57)</f>
        <v>0</v>
      </c>
      <c r="M63" s="14"/>
      <c r="N63" s="14"/>
      <c r="O63" s="14"/>
      <c r="P63" s="14"/>
      <c r="Q63" s="14"/>
      <c r="R63" s="14"/>
      <c r="S63" s="19" t="s">
        <v>80</v>
      </c>
    </row>
    <row r="64" spans="3:19" ht="18" customHeight="1">
      <c r="D64" s="10" t="s">
        <v>150</v>
      </c>
      <c r="E64" s="11"/>
      <c r="F64" s="11"/>
      <c r="G64" s="12"/>
      <c r="H64" s="12"/>
      <c r="I64" s="12"/>
      <c r="J64" s="12"/>
      <c r="K64" s="13"/>
      <c r="M64" s="14"/>
      <c r="N64" s="14"/>
      <c r="O64" s="14"/>
      <c r="P64" s="14"/>
      <c r="Q64" s="14"/>
      <c r="R64" s="14"/>
      <c r="S64" s="14"/>
    </row>
    <row r="65" spans="3:19" ht="12" customHeight="1">
      <c r="D65" s="15" t="s">
        <v>151</v>
      </c>
      <c r="E65" s="16" t="s">
        <v>6</v>
      </c>
      <c r="F65" s="17" t="s">
        <v>152</v>
      </c>
      <c r="G65" s="18">
        <f>SUM(H65:K65)</f>
        <v>64.089419652670912</v>
      </c>
      <c r="H65" s="18">
        <f>SUM(H66,H67,H70,H77)</f>
        <v>12.148611123323807</v>
      </c>
      <c r="I65" s="18">
        <f>SUM(I66,I67,I70,I77)</f>
        <v>0</v>
      </c>
      <c r="J65" s="18">
        <f>SUM(J66,J67,J70,J77)</f>
        <v>51.768925917784131</v>
      </c>
      <c r="K65" s="18">
        <f>SUM(K66,K67,K70,K77)</f>
        <v>0.17188261156298087</v>
      </c>
      <c r="M65" s="14"/>
      <c r="N65" s="14"/>
      <c r="O65" s="14"/>
      <c r="P65" s="14"/>
      <c r="Q65" s="14"/>
      <c r="R65" s="14"/>
      <c r="S65" s="19" t="s">
        <v>80</v>
      </c>
    </row>
    <row r="66" spans="3:19" ht="12" customHeight="1">
      <c r="D66" s="20" t="s">
        <v>153</v>
      </c>
      <c r="E66" s="21" t="s">
        <v>7</v>
      </c>
      <c r="F66" s="8" t="s">
        <v>152</v>
      </c>
      <c r="G66" s="18">
        <f>SUM(H66:K66)</f>
        <v>0</v>
      </c>
      <c r="H66" s="22"/>
      <c r="I66" s="22"/>
      <c r="J66" s="22"/>
      <c r="K66" s="22"/>
      <c r="M66" s="14"/>
      <c r="N66" s="14"/>
      <c r="O66" s="14"/>
      <c r="P66" s="14"/>
      <c r="Q66" s="14"/>
      <c r="R66" s="14"/>
      <c r="S66" s="19" t="s">
        <v>80</v>
      </c>
    </row>
    <row r="67" spans="3:19" ht="12" customHeight="1">
      <c r="D67" s="20" t="s">
        <v>154</v>
      </c>
      <c r="E67" s="21" t="s">
        <v>8</v>
      </c>
      <c r="F67" s="8" t="s">
        <v>152</v>
      </c>
      <c r="G67" s="18">
        <f>SUM(H67:K67)</f>
        <v>0</v>
      </c>
      <c r="H67" s="18">
        <f>SUM(H68:H69)</f>
        <v>0</v>
      </c>
      <c r="I67" s="18">
        <f>SUM(I68:I69)</f>
        <v>0</v>
      </c>
      <c r="J67" s="18">
        <f>SUM(J68:J69)</f>
        <v>0</v>
      </c>
      <c r="K67" s="18">
        <f>SUM(K68:K69)</f>
        <v>0</v>
      </c>
      <c r="M67" s="14"/>
      <c r="N67" s="14"/>
      <c r="O67" s="14"/>
      <c r="P67" s="14"/>
      <c r="Q67" s="14"/>
      <c r="R67" s="14"/>
      <c r="S67" s="19" t="s">
        <v>80</v>
      </c>
    </row>
    <row r="68" spans="3:19" ht="12" hidden="1" customHeight="1">
      <c r="D68" s="23"/>
      <c r="E68" s="24"/>
      <c r="F68" s="25"/>
      <c r="G68" s="26"/>
      <c r="H68" s="26"/>
      <c r="I68" s="26"/>
      <c r="J68" s="26"/>
      <c r="K68" s="27"/>
      <c r="M68" s="19" t="s">
        <v>83</v>
      </c>
      <c r="N68" s="14"/>
      <c r="O68" s="14"/>
      <c r="P68" s="14"/>
      <c r="Q68" s="14"/>
      <c r="R68" s="14"/>
      <c r="S68" s="14"/>
    </row>
    <row r="69" spans="3:19" ht="12" customHeight="1">
      <c r="D69" s="28"/>
      <c r="E69" s="24" t="s">
        <v>9</v>
      </c>
      <c r="F69" s="25"/>
      <c r="G69" s="26"/>
      <c r="H69" s="26"/>
      <c r="I69" s="26"/>
      <c r="J69" s="26"/>
      <c r="K69" s="27"/>
      <c r="M69" s="14"/>
      <c r="N69" s="14"/>
      <c r="O69" s="14"/>
      <c r="P69" s="14"/>
      <c r="Q69" s="14"/>
      <c r="R69" s="14"/>
      <c r="S69" s="29" t="s">
        <v>155</v>
      </c>
    </row>
    <row r="70" spans="3:19" ht="12" customHeight="1">
      <c r="D70" s="20" t="s">
        <v>156</v>
      </c>
      <c r="E70" s="21" t="s">
        <v>10</v>
      </c>
      <c r="F70" s="8" t="s">
        <v>152</v>
      </c>
      <c r="G70" s="18">
        <f>SUM(H70:K70)</f>
        <v>0.99629215212134536</v>
      </c>
      <c r="H70" s="18">
        <f>SUM(H71:H76)</f>
        <v>0</v>
      </c>
      <c r="I70" s="18">
        <f>SUM(I71:I76)</f>
        <v>0</v>
      </c>
      <c r="J70" s="18">
        <f>SUM(J71:J76)</f>
        <v>0.98004264673554631</v>
      </c>
      <c r="K70" s="18">
        <f>SUM(K71:K76)</f>
        <v>1.6249505385799078E-2</v>
      </c>
      <c r="M70" s="14"/>
      <c r="N70" s="14"/>
      <c r="O70" s="14"/>
      <c r="P70" s="14"/>
      <c r="Q70" s="14"/>
      <c r="R70" s="14"/>
      <c r="S70" s="19" t="s">
        <v>80</v>
      </c>
    </row>
    <row r="71" spans="3:19" ht="12" hidden="1" customHeight="1">
      <c r="D71" s="23"/>
      <c r="E71" s="24"/>
      <c r="F71" s="25"/>
      <c r="G71" s="26"/>
      <c r="H71" s="26"/>
      <c r="I71" s="26"/>
      <c r="J71" s="26"/>
      <c r="K71" s="27"/>
      <c r="M71" s="19" t="s">
        <v>83</v>
      </c>
      <c r="N71" s="14"/>
      <c r="O71" s="14"/>
      <c r="P71" s="14"/>
      <c r="Q71" s="14"/>
      <c r="R71" s="14"/>
      <c r="S71" s="14"/>
    </row>
    <row r="72" spans="3:19" s="1" customFormat="1" ht="12" customHeight="1">
      <c r="C72" s="30" t="s">
        <v>86</v>
      </c>
      <c r="D72" s="20" t="str">
        <f>"12.3."&amp;M72</f>
        <v>12.3.1</v>
      </c>
      <c r="E72" s="31" t="s">
        <v>87</v>
      </c>
      <c r="F72" s="8" t="s">
        <v>152</v>
      </c>
      <c r="G72" s="18">
        <f>SUM(H72:K72)</f>
        <v>6.2664981314574625E-2</v>
      </c>
      <c r="H72" s="22"/>
      <c r="I72" s="22"/>
      <c r="J72" s="22">
        <f>J22/4549</f>
        <v>6.2664981314574625E-2</v>
      </c>
      <c r="K72" s="22"/>
      <c r="M72" s="19" t="s">
        <v>78</v>
      </c>
      <c r="N72" s="32" t="s">
        <v>87</v>
      </c>
      <c r="O72" s="32" t="s">
        <v>88</v>
      </c>
      <c r="P72" s="32" t="s">
        <v>89</v>
      </c>
      <c r="Q72" s="32" t="s">
        <v>57</v>
      </c>
      <c r="R72" s="19" t="s">
        <v>90</v>
      </c>
      <c r="S72" s="19" t="s">
        <v>157</v>
      </c>
    </row>
    <row r="73" spans="3:19" s="1" customFormat="1" ht="12" customHeight="1">
      <c r="C73" s="30" t="s">
        <v>86</v>
      </c>
      <c r="D73" s="20" t="str">
        <f>"12.3."&amp;M73</f>
        <v>12.3.2</v>
      </c>
      <c r="E73" s="31" t="s">
        <v>92</v>
      </c>
      <c r="F73" s="8" t="s">
        <v>152</v>
      </c>
      <c r="G73" s="18">
        <f>SUM(H73:K73)</f>
        <v>0.91737766542097166</v>
      </c>
      <c r="H73" s="22"/>
      <c r="I73" s="22"/>
      <c r="J73" s="22">
        <f>J23/4549</f>
        <v>0.91737766542097166</v>
      </c>
      <c r="K73" s="22"/>
      <c r="M73" s="19" t="s">
        <v>93</v>
      </c>
      <c r="N73" s="32" t="s">
        <v>92</v>
      </c>
      <c r="O73" s="32" t="s">
        <v>94</v>
      </c>
      <c r="P73" s="32" t="s">
        <v>95</v>
      </c>
      <c r="Q73" s="32" t="s">
        <v>53</v>
      </c>
      <c r="R73" s="19" t="s">
        <v>90</v>
      </c>
      <c r="S73" s="19" t="s">
        <v>157</v>
      </c>
    </row>
    <row r="74" spans="3:19" s="1" customFormat="1" ht="12" customHeight="1">
      <c r="C74" s="30" t="s">
        <v>86</v>
      </c>
      <c r="D74" s="20" t="str">
        <f>"12.3."&amp;M74</f>
        <v>12.3.3</v>
      </c>
      <c r="E74" s="31" t="s">
        <v>96</v>
      </c>
      <c r="F74" s="8" t="s">
        <v>152</v>
      </c>
      <c r="G74" s="18">
        <f>SUM(H74:K74)</f>
        <v>1.3223345790283581E-2</v>
      </c>
      <c r="H74" s="22"/>
      <c r="I74" s="22"/>
      <c r="J74" s="22"/>
      <c r="K74" s="22">
        <f>K24/4549</f>
        <v>1.3223345790283581E-2</v>
      </c>
      <c r="M74" s="19" t="s">
        <v>97</v>
      </c>
      <c r="N74" s="32" t="s">
        <v>96</v>
      </c>
      <c r="O74" s="32" t="s">
        <v>98</v>
      </c>
      <c r="P74" s="32" t="s">
        <v>99</v>
      </c>
      <c r="Q74" s="32" t="s">
        <v>54</v>
      </c>
      <c r="R74" s="19" t="s">
        <v>90</v>
      </c>
      <c r="S74" s="19" t="s">
        <v>157</v>
      </c>
    </row>
    <row r="75" spans="3:19" s="1" customFormat="1" ht="12" customHeight="1">
      <c r="C75" s="30" t="s">
        <v>86</v>
      </c>
      <c r="D75" s="20" t="str">
        <f>"12.3."&amp;M75</f>
        <v>12.3.4</v>
      </c>
      <c r="E75" s="31" t="s">
        <v>100</v>
      </c>
      <c r="F75" s="8" t="s">
        <v>152</v>
      </c>
      <c r="G75" s="18">
        <f>SUM(H75:K75)</f>
        <v>3.0261595955154981E-3</v>
      </c>
      <c r="H75" s="22"/>
      <c r="I75" s="22"/>
      <c r="J75" s="22"/>
      <c r="K75" s="22">
        <f>K25/4549</f>
        <v>3.0261595955154981E-3</v>
      </c>
      <c r="M75" s="19" t="s">
        <v>101</v>
      </c>
      <c r="N75" s="32" t="s">
        <v>100</v>
      </c>
      <c r="O75" s="32" t="s">
        <v>102</v>
      </c>
      <c r="P75" s="32" t="s">
        <v>103</v>
      </c>
      <c r="Q75" s="32" t="s">
        <v>54</v>
      </c>
      <c r="R75" s="19" t="s">
        <v>90</v>
      </c>
      <c r="S75" s="19" t="s">
        <v>157</v>
      </c>
    </row>
    <row r="76" spans="3:19" ht="12" customHeight="1">
      <c r="D76" s="28"/>
      <c r="E76" s="24" t="s">
        <v>9</v>
      </c>
      <c r="F76" s="25"/>
      <c r="G76" s="26"/>
      <c r="H76" s="26"/>
      <c r="I76" s="26"/>
      <c r="J76" s="26"/>
      <c r="K76" s="27"/>
      <c r="M76" s="14"/>
      <c r="N76" s="14"/>
      <c r="O76" s="14"/>
      <c r="P76" s="14"/>
      <c r="Q76" s="14"/>
      <c r="R76" s="14"/>
      <c r="S76" s="29" t="s">
        <v>158</v>
      </c>
    </row>
    <row r="77" spans="3:19" ht="12" customHeight="1">
      <c r="D77" s="20" t="s">
        <v>159</v>
      </c>
      <c r="E77" s="21" t="s">
        <v>11</v>
      </c>
      <c r="F77" s="8" t="s">
        <v>152</v>
      </c>
      <c r="G77" s="18">
        <f>SUM(H77:K77)</f>
        <v>63.093127500549578</v>
      </c>
      <c r="H77" s="18">
        <f>SUM(H78:H84)</f>
        <v>12.148611123323807</v>
      </c>
      <c r="I77" s="18">
        <f>SUM(I78:I84)</f>
        <v>0</v>
      </c>
      <c r="J77" s="18">
        <f>SUM(J78:J84)</f>
        <v>50.788883271048583</v>
      </c>
      <c r="K77" s="18">
        <f>SUM(K78:K84)</f>
        <v>0.15563310617718179</v>
      </c>
      <c r="M77" s="14"/>
      <c r="N77" s="14"/>
      <c r="O77" s="14"/>
      <c r="P77" s="14"/>
      <c r="Q77" s="14"/>
      <c r="R77" s="14"/>
      <c r="S77" s="19" t="s">
        <v>80</v>
      </c>
    </row>
    <row r="78" spans="3:19" ht="12" hidden="1" customHeight="1">
      <c r="D78" s="23"/>
      <c r="E78" s="24"/>
      <c r="F78" s="25"/>
      <c r="G78" s="26"/>
      <c r="H78" s="26"/>
      <c r="I78" s="26"/>
      <c r="J78" s="26"/>
      <c r="K78" s="27"/>
      <c r="M78" s="19" t="s">
        <v>83</v>
      </c>
      <c r="N78" s="14"/>
      <c r="O78" s="14"/>
      <c r="P78" s="14"/>
      <c r="Q78" s="14"/>
      <c r="R78" s="14"/>
      <c r="S78" s="14"/>
    </row>
    <row r="79" spans="3:19" s="1" customFormat="1" ht="12" customHeight="1">
      <c r="C79" s="30" t="s">
        <v>86</v>
      </c>
      <c r="D79" s="20" t="str">
        <f>"12.4."&amp;M79</f>
        <v>12.4.1</v>
      </c>
      <c r="E79" s="31" t="s">
        <v>12</v>
      </c>
      <c r="F79" s="8" t="s">
        <v>152</v>
      </c>
      <c r="G79" s="18">
        <f>SUM(H79:K79)</f>
        <v>51.591602110353925</v>
      </c>
      <c r="H79" s="22">
        <f>H29/4549</f>
        <v>5.1095207737964383</v>
      </c>
      <c r="I79" s="22"/>
      <c r="J79" s="22">
        <f>J29/4549</f>
        <v>46.326448230380301</v>
      </c>
      <c r="K79" s="22">
        <f>K29/4549</f>
        <v>0.15563310617718179</v>
      </c>
      <c r="M79" s="19" t="s">
        <v>78</v>
      </c>
      <c r="N79" s="32" t="s">
        <v>12</v>
      </c>
      <c r="O79" s="32" t="s">
        <v>106</v>
      </c>
      <c r="P79" s="32" t="s">
        <v>107</v>
      </c>
      <c r="Q79" s="32" t="s">
        <v>55</v>
      </c>
      <c r="R79" s="19" t="s">
        <v>108</v>
      </c>
      <c r="S79" s="19" t="s">
        <v>160</v>
      </c>
    </row>
    <row r="80" spans="3:19" s="1" customFormat="1" ht="12" customHeight="1">
      <c r="C80" s="30" t="s">
        <v>86</v>
      </c>
      <c r="D80" s="20" t="str">
        <f>"12.4."&amp;M80</f>
        <v>12.4.2</v>
      </c>
      <c r="E80" s="31" t="s">
        <v>13</v>
      </c>
      <c r="F80" s="8" t="s">
        <v>152</v>
      </c>
      <c r="G80" s="18">
        <f>SUM(H80:K80)</f>
        <v>0.22188568916245327</v>
      </c>
      <c r="H80" s="22"/>
      <c r="I80" s="22"/>
      <c r="J80" s="22">
        <f>J30/4549</f>
        <v>0.22188568916245327</v>
      </c>
      <c r="K80" s="22"/>
      <c r="M80" s="19" t="s">
        <v>93</v>
      </c>
      <c r="N80" s="32" t="s">
        <v>13</v>
      </c>
      <c r="O80" s="32" t="s">
        <v>110</v>
      </c>
      <c r="P80" s="32" t="s">
        <v>111</v>
      </c>
      <c r="Q80" s="32" t="s">
        <v>56</v>
      </c>
      <c r="R80" s="19" t="s">
        <v>108</v>
      </c>
      <c r="S80" s="19" t="s">
        <v>160</v>
      </c>
    </row>
    <row r="81" spans="3:19" s="1" customFormat="1" ht="12" customHeight="1">
      <c r="C81" s="30" t="s">
        <v>86</v>
      </c>
      <c r="D81" s="20" t="str">
        <f>"12.4."&amp;M81</f>
        <v>12.4.3</v>
      </c>
      <c r="E81" s="31" t="s">
        <v>52</v>
      </c>
      <c r="F81" s="8" t="s">
        <v>152</v>
      </c>
      <c r="G81" s="18">
        <f>SUM(H81:K81)</f>
        <v>5.5175262695097818</v>
      </c>
      <c r="H81" s="22">
        <f>H31/4549</f>
        <v>5.1343343591998236</v>
      </c>
      <c r="I81" s="22"/>
      <c r="J81" s="22">
        <f>J31/4549</f>
        <v>0.38319191030995819</v>
      </c>
      <c r="K81" s="22"/>
      <c r="M81" s="19" t="s">
        <v>97</v>
      </c>
      <c r="N81" s="32" t="s">
        <v>52</v>
      </c>
      <c r="O81" s="32" t="s">
        <v>112</v>
      </c>
      <c r="P81" s="32" t="s">
        <v>113</v>
      </c>
      <c r="Q81" s="32" t="s">
        <v>58</v>
      </c>
      <c r="R81" s="19" t="s">
        <v>108</v>
      </c>
      <c r="S81" s="19" t="s">
        <v>160</v>
      </c>
    </row>
    <row r="82" spans="3:19" s="1" customFormat="1" ht="12" customHeight="1">
      <c r="C82" s="30" t="s">
        <v>86</v>
      </c>
      <c r="D82" s="20" t="str">
        <f>"12.4."&amp;M82</f>
        <v>12.4.4</v>
      </c>
      <c r="E82" s="31" t="s">
        <v>14</v>
      </c>
      <c r="F82" s="8" t="s">
        <v>152</v>
      </c>
      <c r="G82" s="18">
        <f>SUM(H82:K82)</f>
        <v>1.9047559903275446</v>
      </c>
      <c r="H82" s="22">
        <f>H32/4549</f>
        <v>1.9047559903275446</v>
      </c>
      <c r="I82" s="22"/>
      <c r="J82" s="22"/>
      <c r="K82" s="22"/>
      <c r="M82" s="19" t="s">
        <v>101</v>
      </c>
      <c r="N82" s="32" t="s">
        <v>14</v>
      </c>
      <c r="O82" s="32" t="s">
        <v>114</v>
      </c>
      <c r="P82" s="32" t="s">
        <v>115</v>
      </c>
      <c r="Q82" s="32" t="s">
        <v>59</v>
      </c>
      <c r="R82" s="19" t="s">
        <v>108</v>
      </c>
      <c r="S82" s="19" t="s">
        <v>160</v>
      </c>
    </row>
    <row r="83" spans="3:19" s="1" customFormat="1" ht="12" customHeight="1">
      <c r="C83" s="30" t="s">
        <v>86</v>
      </c>
      <c r="D83" s="20" t="str">
        <f>"12.4."&amp;M83</f>
        <v>12.4.5</v>
      </c>
      <c r="E83" s="31" t="s">
        <v>116</v>
      </c>
      <c r="F83" s="8" t="s">
        <v>152</v>
      </c>
      <c r="G83" s="18">
        <f>SUM(H83:K83)</f>
        <v>3.8573574411958669</v>
      </c>
      <c r="H83" s="22"/>
      <c r="I83" s="22"/>
      <c r="J83" s="22">
        <f>J33/4549</f>
        <v>3.8573574411958669</v>
      </c>
      <c r="K83" s="22"/>
      <c r="M83" s="19" t="s">
        <v>117</v>
      </c>
      <c r="N83" s="32" t="s">
        <v>116</v>
      </c>
      <c r="O83" s="32" t="s">
        <v>118</v>
      </c>
      <c r="P83" s="32" t="s">
        <v>119</v>
      </c>
      <c r="Q83" s="32" t="s">
        <v>120</v>
      </c>
      <c r="R83" s="19" t="s">
        <v>108</v>
      </c>
      <c r="S83" s="19" t="s">
        <v>160</v>
      </c>
    </row>
    <row r="84" spans="3:19" ht="12" customHeight="1">
      <c r="D84" s="28"/>
      <c r="E84" s="24" t="s">
        <v>9</v>
      </c>
      <c r="F84" s="25"/>
      <c r="G84" s="26"/>
      <c r="H84" s="26"/>
      <c r="I84" s="26"/>
      <c r="J84" s="26"/>
      <c r="K84" s="27"/>
      <c r="M84" s="14"/>
      <c r="N84" s="14"/>
      <c r="O84" s="14"/>
      <c r="P84" s="14"/>
      <c r="Q84" s="14"/>
      <c r="R84" s="14"/>
      <c r="S84" s="29" t="s">
        <v>161</v>
      </c>
    </row>
    <row r="85" spans="3:19" ht="12" customHeight="1">
      <c r="D85" s="15" t="s">
        <v>162</v>
      </c>
      <c r="E85" s="16" t="s">
        <v>15</v>
      </c>
      <c r="F85" s="17" t="s">
        <v>152</v>
      </c>
      <c r="G85" s="18">
        <f t="shared" ref="G85:G97" si="2">SUM(H85:K85)</f>
        <v>35.553856232138941</v>
      </c>
      <c r="H85" s="18">
        <f>SUM(H87,H88,H89)</f>
        <v>0</v>
      </c>
      <c r="I85" s="18">
        <f>SUM(I86,I88,I89)</f>
        <v>0</v>
      </c>
      <c r="J85" s="18">
        <f>SUM(J86,J87,J89)</f>
        <v>0</v>
      </c>
      <c r="K85" s="18">
        <f>SUM(K86,K87,K88)</f>
        <v>35.553856232138941</v>
      </c>
      <c r="M85" s="14"/>
      <c r="N85" s="14"/>
      <c r="O85" s="14"/>
      <c r="P85" s="14"/>
      <c r="Q85" s="14"/>
      <c r="R85" s="14"/>
      <c r="S85" s="19" t="s">
        <v>80</v>
      </c>
    </row>
    <row r="86" spans="3:19" ht="12" customHeight="1">
      <c r="D86" s="20" t="s">
        <v>163</v>
      </c>
      <c r="E86" s="21" t="s">
        <v>2</v>
      </c>
      <c r="F86" s="8" t="s">
        <v>152</v>
      </c>
      <c r="G86" s="18">
        <f t="shared" si="2"/>
        <v>8.6231039788964736E-2</v>
      </c>
      <c r="H86" s="33"/>
      <c r="I86" s="22"/>
      <c r="J86" s="22"/>
      <c r="K86" s="22">
        <f>H65-H91-H109</f>
        <v>8.6231039788964736E-2</v>
      </c>
      <c r="M86" s="14"/>
      <c r="N86" s="14"/>
      <c r="O86" s="14"/>
      <c r="P86" s="14"/>
      <c r="Q86" s="14"/>
      <c r="R86" s="14"/>
      <c r="S86" s="19" t="s">
        <v>80</v>
      </c>
    </row>
    <row r="87" spans="3:19" ht="12" customHeight="1">
      <c r="D87" s="20" t="s">
        <v>164</v>
      </c>
      <c r="E87" s="21" t="s">
        <v>3</v>
      </c>
      <c r="F87" s="8" t="s">
        <v>152</v>
      </c>
      <c r="G87" s="18">
        <f t="shared" si="2"/>
        <v>0</v>
      </c>
      <c r="H87" s="22"/>
      <c r="I87" s="33"/>
      <c r="J87" s="22"/>
      <c r="K87" s="22"/>
      <c r="M87" s="14"/>
      <c r="N87" s="14"/>
      <c r="O87" s="14"/>
      <c r="P87" s="14"/>
      <c r="Q87" s="14"/>
      <c r="R87" s="14"/>
      <c r="S87" s="19" t="s">
        <v>80</v>
      </c>
    </row>
    <row r="88" spans="3:19" ht="12" customHeight="1">
      <c r="D88" s="20" t="s">
        <v>165</v>
      </c>
      <c r="E88" s="21" t="s">
        <v>4</v>
      </c>
      <c r="F88" s="8" t="s">
        <v>152</v>
      </c>
      <c r="G88" s="18">
        <f t="shared" si="2"/>
        <v>35.467625192349978</v>
      </c>
      <c r="H88" s="22"/>
      <c r="I88" s="22"/>
      <c r="J88" s="33"/>
      <c r="K88" s="22">
        <f>J65-J91-J109</f>
        <v>35.467625192349978</v>
      </c>
      <c r="M88" s="14"/>
      <c r="N88" s="14"/>
      <c r="O88" s="14"/>
      <c r="P88" s="14"/>
      <c r="Q88" s="14"/>
      <c r="R88" s="14"/>
      <c r="S88" s="19" t="s">
        <v>80</v>
      </c>
    </row>
    <row r="89" spans="3:19" ht="12" customHeight="1">
      <c r="D89" s="20" t="s">
        <v>166</v>
      </c>
      <c r="E89" s="21" t="s">
        <v>16</v>
      </c>
      <c r="F89" s="8" t="s">
        <v>152</v>
      </c>
      <c r="G89" s="18">
        <f t="shared" si="2"/>
        <v>0</v>
      </c>
      <c r="H89" s="22"/>
      <c r="I89" s="22"/>
      <c r="J89" s="22"/>
      <c r="K89" s="33"/>
      <c r="M89" s="14"/>
      <c r="N89" s="14"/>
      <c r="O89" s="14"/>
      <c r="P89" s="14"/>
      <c r="Q89" s="14"/>
      <c r="R89" s="14"/>
      <c r="S89" s="19" t="s">
        <v>80</v>
      </c>
    </row>
    <row r="90" spans="3:19" ht="12" customHeight="1">
      <c r="D90" s="15" t="s">
        <v>167</v>
      </c>
      <c r="E90" s="16" t="s">
        <v>17</v>
      </c>
      <c r="F90" s="17" t="s">
        <v>152</v>
      </c>
      <c r="G90" s="18">
        <f t="shared" si="2"/>
        <v>0</v>
      </c>
      <c r="H90" s="22"/>
      <c r="I90" s="22"/>
      <c r="J90" s="22"/>
      <c r="K90" s="22"/>
      <c r="M90" s="14"/>
      <c r="N90" s="14"/>
      <c r="O90" s="14"/>
      <c r="P90" s="14"/>
      <c r="Q90" s="14"/>
      <c r="R90" s="14"/>
      <c r="S90" s="19" t="s">
        <v>80</v>
      </c>
    </row>
    <row r="91" spans="3:19" ht="12" customHeight="1">
      <c r="D91" s="15" t="s">
        <v>168</v>
      </c>
      <c r="E91" s="16" t="s">
        <v>18</v>
      </c>
      <c r="F91" s="17" t="s">
        <v>152</v>
      </c>
      <c r="G91" s="18">
        <f t="shared" si="2"/>
        <v>58.895773796438775</v>
      </c>
      <c r="H91" s="18">
        <f>SUM(H92,H94,H97,H103)</f>
        <v>11.802274126181578</v>
      </c>
      <c r="I91" s="18">
        <f>SUM(I92,I94,I97,I103)</f>
        <v>0</v>
      </c>
      <c r="J91" s="18">
        <f>SUM(J92,J94,J97,J103)</f>
        <v>12.967961310178058</v>
      </c>
      <c r="K91" s="18">
        <f>SUM(K92,K94,K97,K103)</f>
        <v>34.12553836007914</v>
      </c>
      <c r="M91" s="14"/>
      <c r="N91" s="14"/>
      <c r="O91" s="14"/>
      <c r="P91" s="14"/>
      <c r="Q91" s="14"/>
      <c r="R91" s="14"/>
      <c r="S91" s="19" t="s">
        <v>80</v>
      </c>
    </row>
    <row r="92" spans="3:19" ht="24" customHeight="1">
      <c r="D92" s="20" t="s">
        <v>169</v>
      </c>
      <c r="E92" s="21" t="s">
        <v>127</v>
      </c>
      <c r="F92" s="8" t="s">
        <v>152</v>
      </c>
      <c r="G92" s="18">
        <f t="shared" si="2"/>
        <v>0</v>
      </c>
      <c r="H92" s="22"/>
      <c r="I92" s="22"/>
      <c r="J92" s="22"/>
      <c r="K92" s="22"/>
      <c r="M92" s="14"/>
      <c r="N92" s="14"/>
      <c r="O92" s="14"/>
      <c r="P92" s="14"/>
      <c r="Q92" s="14"/>
      <c r="R92" s="14"/>
      <c r="S92" s="19" t="s">
        <v>80</v>
      </c>
    </row>
    <row r="93" spans="3:19" ht="12" customHeight="1">
      <c r="D93" s="20" t="s">
        <v>170</v>
      </c>
      <c r="E93" s="34" t="s">
        <v>129</v>
      </c>
      <c r="F93" s="8" t="s">
        <v>152</v>
      </c>
      <c r="G93" s="18">
        <f t="shared" si="2"/>
        <v>0</v>
      </c>
      <c r="H93" s="22"/>
      <c r="I93" s="22"/>
      <c r="J93" s="22"/>
      <c r="K93" s="22"/>
      <c r="M93" s="14"/>
      <c r="N93" s="14"/>
      <c r="O93" s="14"/>
      <c r="P93" s="14"/>
      <c r="Q93" s="14"/>
      <c r="R93" s="14"/>
      <c r="S93" s="19" t="s">
        <v>80</v>
      </c>
    </row>
    <row r="94" spans="3:19" ht="12" customHeight="1">
      <c r="D94" s="20" t="s">
        <v>171</v>
      </c>
      <c r="E94" s="21" t="s">
        <v>19</v>
      </c>
      <c r="F94" s="8" t="s">
        <v>152</v>
      </c>
      <c r="G94" s="18">
        <f t="shared" si="2"/>
        <v>28.336874697735766</v>
      </c>
      <c r="H94" s="22">
        <f>H95</f>
        <v>11.802274126181578</v>
      </c>
      <c r="I94" s="22"/>
      <c r="J94" s="22">
        <f>J95</f>
        <v>8.6791200263794224</v>
      </c>
      <c r="K94" s="22">
        <f>K95</f>
        <v>7.8554805451747649</v>
      </c>
      <c r="M94" s="14"/>
      <c r="N94" s="14"/>
      <c r="O94" s="14"/>
      <c r="P94" s="14"/>
      <c r="Q94" s="14"/>
      <c r="R94" s="14"/>
      <c r="S94" s="19" t="s">
        <v>80</v>
      </c>
    </row>
    <row r="95" spans="3:19" ht="12" customHeight="1">
      <c r="D95" s="20" t="s">
        <v>172</v>
      </c>
      <c r="E95" s="34" t="s">
        <v>20</v>
      </c>
      <c r="F95" s="8" t="s">
        <v>152</v>
      </c>
      <c r="G95" s="18">
        <f t="shared" si="2"/>
        <v>28.336874697735766</v>
      </c>
      <c r="H95" s="22">
        <f>H45/4549</f>
        <v>11.802274126181578</v>
      </c>
      <c r="I95" s="22"/>
      <c r="J95" s="22">
        <f>J45/4549</f>
        <v>8.6791200263794224</v>
      </c>
      <c r="K95" s="22">
        <f>K45/4549</f>
        <v>7.8554805451747649</v>
      </c>
      <c r="M95" s="14"/>
      <c r="N95" s="14"/>
      <c r="O95" s="14"/>
      <c r="P95" s="14"/>
      <c r="Q95" s="14"/>
      <c r="R95" s="14"/>
      <c r="S95" s="19" t="s">
        <v>80</v>
      </c>
    </row>
    <row r="96" spans="3:19" ht="12" customHeight="1">
      <c r="D96" s="20" t="s">
        <v>173</v>
      </c>
      <c r="E96" s="35" t="s">
        <v>133</v>
      </c>
      <c r="F96" s="8" t="s">
        <v>152</v>
      </c>
      <c r="G96" s="18">
        <f t="shared" si="2"/>
        <v>0</v>
      </c>
      <c r="H96" s="22"/>
      <c r="I96" s="22"/>
      <c r="J96" s="22"/>
      <c r="K96" s="22"/>
      <c r="M96" s="14"/>
      <c r="N96" s="14"/>
      <c r="O96" s="14"/>
      <c r="P96" s="14"/>
      <c r="Q96" s="14"/>
      <c r="R96" s="14"/>
      <c r="S96" s="19" t="s">
        <v>80</v>
      </c>
    </row>
    <row r="97" spans="3:19" ht="12" customHeight="1">
      <c r="D97" s="20" t="s">
        <v>174</v>
      </c>
      <c r="E97" s="21" t="s">
        <v>21</v>
      </c>
      <c r="F97" s="8" t="s">
        <v>152</v>
      </c>
      <c r="G97" s="18">
        <f t="shared" si="2"/>
        <v>1.2404491096944381</v>
      </c>
      <c r="H97" s="18">
        <f>SUM(H98:H102)</f>
        <v>0</v>
      </c>
      <c r="I97" s="18">
        <f>SUM(I98:I102)</f>
        <v>0</v>
      </c>
      <c r="J97" s="18">
        <f>SUM(J98:J102)</f>
        <v>1.0378529347109253</v>
      </c>
      <c r="K97" s="18">
        <f>SUM(K98:K102)</f>
        <v>0.20259617498351284</v>
      </c>
      <c r="M97" s="14"/>
      <c r="N97" s="14"/>
      <c r="O97" s="14"/>
      <c r="P97" s="14"/>
      <c r="Q97" s="14"/>
      <c r="R97" s="14"/>
      <c r="S97" s="19" t="s">
        <v>80</v>
      </c>
    </row>
    <row r="98" spans="3:19" ht="12" hidden="1" customHeight="1">
      <c r="D98" s="23"/>
      <c r="E98" s="24"/>
      <c r="F98" s="25"/>
      <c r="G98" s="26"/>
      <c r="H98" s="26"/>
      <c r="I98" s="26"/>
      <c r="J98" s="26"/>
      <c r="K98" s="27"/>
      <c r="M98" s="19" t="s">
        <v>83</v>
      </c>
      <c r="N98" s="14"/>
      <c r="O98" s="14"/>
      <c r="P98" s="14"/>
      <c r="Q98" s="14"/>
      <c r="R98" s="14"/>
      <c r="S98" s="14"/>
    </row>
    <row r="99" spans="3:19" s="1" customFormat="1" ht="12" customHeight="1">
      <c r="C99" s="30" t="s">
        <v>86</v>
      </c>
      <c r="D99" s="20" t="str">
        <f>"15.3."&amp;M99</f>
        <v>15.3.1</v>
      </c>
      <c r="E99" s="31" t="s">
        <v>12</v>
      </c>
      <c r="F99" s="8" t="s">
        <v>152</v>
      </c>
      <c r="G99" s="18">
        <f>SUM(H99:K99)</f>
        <v>0.84413453506265101</v>
      </c>
      <c r="H99" s="22"/>
      <c r="I99" s="22"/>
      <c r="J99" s="22">
        <f>J49/4549</f>
        <v>0.71327434601011197</v>
      </c>
      <c r="K99" s="22">
        <f>K49/4549</f>
        <v>0.13086018905253899</v>
      </c>
      <c r="M99" s="19" t="s">
        <v>78</v>
      </c>
      <c r="N99" s="32" t="s">
        <v>12</v>
      </c>
      <c r="O99" s="32" t="s">
        <v>106</v>
      </c>
      <c r="P99" s="32" t="s">
        <v>107</v>
      </c>
      <c r="Q99" s="32" t="s">
        <v>55</v>
      </c>
      <c r="R99" s="19" t="s">
        <v>108</v>
      </c>
      <c r="S99" s="19" t="s">
        <v>175</v>
      </c>
    </row>
    <row r="100" spans="3:19" s="1" customFormat="1" ht="12" customHeight="1">
      <c r="C100" s="30" t="s">
        <v>86</v>
      </c>
      <c r="D100" s="20" t="str">
        <f>"15.3."&amp;M100</f>
        <v>15.3.2</v>
      </c>
      <c r="E100" s="31" t="s">
        <v>52</v>
      </c>
      <c r="F100" s="8" t="s">
        <v>152</v>
      </c>
      <c r="G100" s="18">
        <f>SUM(H100:K100)</f>
        <v>0.39031171686084853</v>
      </c>
      <c r="H100" s="22"/>
      <c r="I100" s="22"/>
      <c r="J100" s="22">
        <f>J50/4549</f>
        <v>0.31857573092987468</v>
      </c>
      <c r="K100" s="22">
        <f>K50/4549</f>
        <v>7.1735985930973842E-2</v>
      </c>
      <c r="M100" s="19" t="s">
        <v>93</v>
      </c>
      <c r="N100" s="32" t="s">
        <v>52</v>
      </c>
      <c r="O100" s="32" t="s">
        <v>112</v>
      </c>
      <c r="P100" s="32" t="s">
        <v>113</v>
      </c>
      <c r="Q100" s="32" t="s">
        <v>58</v>
      </c>
      <c r="R100" s="19" t="s">
        <v>108</v>
      </c>
      <c r="S100" s="19" t="s">
        <v>175</v>
      </c>
    </row>
    <row r="101" spans="3:19" s="1" customFormat="1" ht="12" customHeight="1">
      <c r="C101" s="30" t="s">
        <v>86</v>
      </c>
      <c r="D101" s="20" t="str">
        <f>"15.3."&amp;M101</f>
        <v>15.3.3</v>
      </c>
      <c r="E101" s="31" t="s">
        <v>50</v>
      </c>
      <c r="F101" s="8" t="s">
        <v>152</v>
      </c>
      <c r="G101" s="18">
        <f>SUM(H101:K101)</f>
        <v>6.0028577709386674E-3</v>
      </c>
      <c r="H101" s="22"/>
      <c r="I101" s="22"/>
      <c r="J101" s="22">
        <f>J51/4549</f>
        <v>6.0028577709386674E-3</v>
      </c>
      <c r="K101" s="22"/>
      <c r="M101" s="19" t="s">
        <v>97</v>
      </c>
      <c r="N101" s="32" t="s">
        <v>50</v>
      </c>
      <c r="O101" s="32" t="s">
        <v>136</v>
      </c>
      <c r="P101" s="32" t="s">
        <v>137</v>
      </c>
      <c r="Q101" s="32" t="s">
        <v>60</v>
      </c>
      <c r="R101" s="19" t="s">
        <v>108</v>
      </c>
      <c r="S101" s="19" t="s">
        <v>175</v>
      </c>
    </row>
    <row r="102" spans="3:19" ht="12" customHeight="1">
      <c r="D102" s="28"/>
      <c r="E102" s="24" t="s">
        <v>9</v>
      </c>
      <c r="F102" s="25"/>
      <c r="G102" s="26"/>
      <c r="H102" s="26"/>
      <c r="I102" s="26"/>
      <c r="J102" s="26"/>
      <c r="K102" s="27"/>
      <c r="M102" s="14"/>
      <c r="N102" s="14"/>
      <c r="O102" s="14"/>
      <c r="P102" s="14"/>
      <c r="Q102" s="14"/>
      <c r="R102" s="14"/>
      <c r="S102" s="29" t="s">
        <v>176</v>
      </c>
    </row>
    <row r="103" spans="3:19" ht="12" customHeight="1">
      <c r="D103" s="20" t="s">
        <v>177</v>
      </c>
      <c r="E103" s="21" t="s">
        <v>140</v>
      </c>
      <c r="F103" s="8" t="s">
        <v>152</v>
      </c>
      <c r="G103" s="18">
        <f t="shared" ref="G103:G111" si="3">SUM(H103:K103)</f>
        <v>29.318449989008574</v>
      </c>
      <c r="H103" s="22"/>
      <c r="I103" s="22"/>
      <c r="J103" s="22">
        <f>J53/4549</f>
        <v>3.2509883490877116</v>
      </c>
      <c r="K103" s="22">
        <f>K53/4549</f>
        <v>26.067461639920861</v>
      </c>
      <c r="M103" s="14"/>
      <c r="N103" s="14"/>
      <c r="O103" s="14"/>
      <c r="P103" s="14"/>
      <c r="Q103" s="14"/>
      <c r="R103" s="14"/>
      <c r="S103" s="19" t="s">
        <v>80</v>
      </c>
    </row>
    <row r="104" spans="3:19" ht="12" customHeight="1">
      <c r="D104" s="15" t="s">
        <v>178</v>
      </c>
      <c r="E104" s="16" t="s">
        <v>22</v>
      </c>
      <c r="F104" s="17" t="s">
        <v>152</v>
      </c>
      <c r="G104" s="18">
        <f t="shared" si="3"/>
        <v>35.553856232138941</v>
      </c>
      <c r="H104" s="22">
        <f>K86</f>
        <v>8.6231039788964736E-2</v>
      </c>
      <c r="I104" s="22"/>
      <c r="J104" s="22">
        <f>K88</f>
        <v>35.467625192349978</v>
      </c>
      <c r="K104" s="22"/>
      <c r="M104" s="14"/>
      <c r="N104" s="14"/>
      <c r="O104" s="14"/>
      <c r="P104" s="14"/>
      <c r="Q104" s="14"/>
      <c r="R104" s="14"/>
      <c r="S104" s="19" t="s">
        <v>80</v>
      </c>
    </row>
    <row r="105" spans="3:19" ht="12" customHeight="1">
      <c r="D105" s="15" t="s">
        <v>179</v>
      </c>
      <c r="E105" s="16" t="s">
        <v>23</v>
      </c>
      <c r="F105" s="17" t="s">
        <v>152</v>
      </c>
      <c r="G105" s="18">
        <f t="shared" si="3"/>
        <v>0</v>
      </c>
      <c r="H105" s="22"/>
      <c r="I105" s="22"/>
      <c r="J105" s="22"/>
      <c r="K105" s="22"/>
      <c r="M105" s="14"/>
      <c r="N105" s="14"/>
      <c r="O105" s="14"/>
      <c r="P105" s="14"/>
      <c r="Q105" s="14"/>
      <c r="R105" s="14"/>
      <c r="S105" s="19" t="s">
        <v>80</v>
      </c>
    </row>
    <row r="106" spans="3:19" ht="12" customHeight="1">
      <c r="D106" s="15" t="s">
        <v>180</v>
      </c>
      <c r="E106" s="16" t="s">
        <v>24</v>
      </c>
      <c r="F106" s="17" t="s">
        <v>152</v>
      </c>
      <c r="G106" s="18">
        <f t="shared" si="3"/>
        <v>0</v>
      </c>
      <c r="H106" s="22"/>
      <c r="I106" s="22"/>
      <c r="J106" s="22"/>
      <c r="K106" s="22"/>
      <c r="M106" s="14"/>
      <c r="N106" s="14"/>
      <c r="O106" s="14"/>
      <c r="P106" s="14"/>
      <c r="Q106" s="14"/>
      <c r="R106" s="14"/>
      <c r="S106" s="19" t="s">
        <v>80</v>
      </c>
    </row>
    <row r="107" spans="3:19" ht="12" customHeight="1">
      <c r="D107" s="15" t="s">
        <v>181</v>
      </c>
      <c r="E107" s="16" t="s">
        <v>144</v>
      </c>
      <c r="F107" s="17" t="s">
        <v>152</v>
      </c>
      <c r="G107" s="18">
        <f t="shared" si="3"/>
        <v>5.1936458562321386</v>
      </c>
      <c r="H107" s="22">
        <f>H109</f>
        <v>0.26010595735326447</v>
      </c>
      <c r="I107" s="22"/>
      <c r="J107" s="22">
        <f>J109</f>
        <v>3.3333394152561002</v>
      </c>
      <c r="K107" s="22">
        <f>K109</f>
        <v>1.6002004836227741</v>
      </c>
      <c r="M107" s="14"/>
      <c r="N107" s="14"/>
      <c r="O107" s="14"/>
      <c r="P107" s="14"/>
      <c r="Q107" s="14"/>
      <c r="R107" s="14"/>
      <c r="S107" s="19" t="s">
        <v>80</v>
      </c>
    </row>
    <row r="108" spans="3:19" ht="12" customHeight="1">
      <c r="D108" s="20" t="s">
        <v>182</v>
      </c>
      <c r="E108" s="21" t="s">
        <v>27</v>
      </c>
      <c r="F108" s="8" t="s">
        <v>152</v>
      </c>
      <c r="G108" s="18">
        <f t="shared" si="3"/>
        <v>0</v>
      </c>
      <c r="H108" s="22"/>
      <c r="I108" s="22"/>
      <c r="J108" s="22"/>
      <c r="K108" s="22"/>
      <c r="M108" s="14"/>
      <c r="N108" s="14"/>
      <c r="O108" s="14"/>
      <c r="P108" s="14"/>
      <c r="Q108" s="14"/>
      <c r="R108" s="14"/>
      <c r="S108" s="19" t="s">
        <v>80</v>
      </c>
    </row>
    <row r="109" spans="3:19" ht="12" customHeight="1">
      <c r="D109" s="15" t="s">
        <v>183</v>
      </c>
      <c r="E109" s="16" t="s">
        <v>147</v>
      </c>
      <c r="F109" s="17" t="s">
        <v>152</v>
      </c>
      <c r="G109" s="18">
        <f t="shared" si="3"/>
        <v>5.1936458562321386</v>
      </c>
      <c r="H109" s="22">
        <f>H59/4549</f>
        <v>0.26010595735326447</v>
      </c>
      <c r="I109" s="22"/>
      <c r="J109" s="22">
        <f>J59/4549</f>
        <v>3.3333394152561002</v>
      </c>
      <c r="K109" s="22">
        <f>K59/4549</f>
        <v>1.6002004836227741</v>
      </c>
      <c r="M109" s="14"/>
      <c r="N109" s="14"/>
      <c r="O109" s="14"/>
      <c r="P109" s="14"/>
      <c r="Q109" s="14"/>
      <c r="R109" s="14"/>
      <c r="S109" s="19" t="s">
        <v>80</v>
      </c>
    </row>
    <row r="110" spans="3:19" ht="24" customHeight="1">
      <c r="D110" s="15" t="s">
        <v>184</v>
      </c>
      <c r="E110" s="16" t="s">
        <v>149</v>
      </c>
      <c r="F110" s="17" t="s">
        <v>152</v>
      </c>
      <c r="G110" s="18">
        <f t="shared" si="3"/>
        <v>0</v>
      </c>
      <c r="H110" s="18">
        <f>H107-H109</f>
        <v>0</v>
      </c>
      <c r="I110" s="18">
        <f>I107-I109</f>
        <v>0</v>
      </c>
      <c r="J110" s="18">
        <f>J107-J109</f>
        <v>0</v>
      </c>
      <c r="K110" s="18">
        <f>K107-K109</f>
        <v>0</v>
      </c>
      <c r="M110" s="14"/>
      <c r="N110" s="14"/>
      <c r="O110" s="14"/>
      <c r="P110" s="14"/>
      <c r="Q110" s="14"/>
      <c r="R110" s="14"/>
      <c r="S110" s="19" t="s">
        <v>80</v>
      </c>
    </row>
    <row r="111" spans="3:19" ht="12" customHeight="1">
      <c r="D111" s="15" t="s">
        <v>185</v>
      </c>
      <c r="E111" s="16" t="s">
        <v>26</v>
      </c>
      <c r="F111" s="17" t="s">
        <v>152</v>
      </c>
      <c r="G111" s="18">
        <f t="shared" si="3"/>
        <v>0</v>
      </c>
      <c r="H111" s="18">
        <f>SUM(H65,H85,H90)-SUM(H91,H104:H107)</f>
        <v>0</v>
      </c>
      <c r="I111" s="18">
        <f>SUM(I65,I85,I90)-SUM(I91,I104:I107)</f>
        <v>0</v>
      </c>
      <c r="J111" s="18">
        <f>SUM(J65,J85,J90)-SUM(J91,J104:J107)</f>
        <v>0</v>
      </c>
      <c r="K111" s="18">
        <f>SUM(K65,K85,K90)-SUM(K91,K104:K107)</f>
        <v>0</v>
      </c>
      <c r="M111" s="14"/>
      <c r="N111" s="14"/>
      <c r="O111" s="14"/>
      <c r="P111" s="14"/>
      <c r="Q111" s="14"/>
      <c r="R111" s="14"/>
      <c r="S111" s="19" t="s">
        <v>80</v>
      </c>
    </row>
    <row r="112" spans="3:19" ht="18" customHeight="1">
      <c r="D112" s="10" t="s">
        <v>186</v>
      </c>
      <c r="E112" s="11"/>
      <c r="F112" s="11"/>
      <c r="G112" s="12"/>
      <c r="H112" s="12"/>
      <c r="I112" s="12"/>
      <c r="J112" s="12"/>
      <c r="K112" s="13"/>
      <c r="M112" s="14"/>
      <c r="N112" s="14"/>
      <c r="O112" s="14"/>
      <c r="P112" s="14"/>
      <c r="Q112" s="14"/>
      <c r="R112" s="14"/>
      <c r="S112" s="14"/>
    </row>
    <row r="113" spans="4:19" ht="12" customHeight="1">
      <c r="D113" s="15" t="s">
        <v>187</v>
      </c>
      <c r="E113" s="16" t="s">
        <v>28</v>
      </c>
      <c r="F113" s="17" t="s">
        <v>152</v>
      </c>
      <c r="G113" s="18">
        <f>SUM(H113:K113)</f>
        <v>58.89</v>
      </c>
      <c r="H113" s="22">
        <v>12.62</v>
      </c>
      <c r="I113" s="22"/>
      <c r="J113" s="22">
        <v>14.59</v>
      </c>
      <c r="K113" s="22">
        <v>31.68</v>
      </c>
      <c r="M113" s="14"/>
      <c r="N113" s="14"/>
      <c r="O113" s="14"/>
      <c r="P113" s="14"/>
      <c r="Q113" s="14"/>
      <c r="R113" s="14"/>
      <c r="S113" s="19" t="s">
        <v>80</v>
      </c>
    </row>
    <row r="114" spans="4:19" ht="12" customHeight="1">
      <c r="D114" s="15" t="s">
        <v>188</v>
      </c>
      <c r="E114" s="16" t="s">
        <v>29</v>
      </c>
      <c r="F114" s="17" t="s">
        <v>152</v>
      </c>
      <c r="G114" s="18">
        <f>SUM(H114:K114)</f>
        <v>0</v>
      </c>
      <c r="H114" s="22"/>
      <c r="I114" s="22"/>
      <c r="J114" s="22"/>
      <c r="K114" s="22"/>
      <c r="M114" s="14"/>
      <c r="N114" s="14"/>
      <c r="O114" s="14"/>
      <c r="P114" s="14"/>
      <c r="Q114" s="14"/>
      <c r="R114" s="14"/>
      <c r="S114" s="19" t="s">
        <v>80</v>
      </c>
    </row>
    <row r="115" spans="4:19" ht="12" customHeight="1">
      <c r="D115" s="15" t="s">
        <v>189</v>
      </c>
      <c r="E115" s="16" t="s">
        <v>30</v>
      </c>
      <c r="F115" s="17" t="s">
        <v>152</v>
      </c>
      <c r="G115" s="18">
        <f>SUM(H115:K115)</f>
        <v>0</v>
      </c>
      <c r="H115" s="22"/>
      <c r="I115" s="22"/>
      <c r="J115" s="22"/>
      <c r="K115" s="22"/>
      <c r="M115" s="14"/>
      <c r="N115" s="14"/>
      <c r="O115" s="14"/>
      <c r="P115" s="14"/>
      <c r="Q115" s="14"/>
      <c r="R115" s="14"/>
      <c r="S115" s="19" t="s">
        <v>80</v>
      </c>
    </row>
    <row r="116" spans="4:19" ht="18" customHeight="1">
      <c r="D116" s="10" t="s">
        <v>190</v>
      </c>
      <c r="E116" s="11"/>
      <c r="F116" s="11"/>
      <c r="G116" s="12"/>
      <c r="H116" s="12"/>
      <c r="I116" s="12"/>
      <c r="J116" s="12"/>
      <c r="K116" s="13"/>
      <c r="M116" s="14"/>
      <c r="N116" s="14"/>
      <c r="O116" s="14"/>
      <c r="P116" s="14"/>
      <c r="Q116" s="14"/>
      <c r="R116" s="14"/>
      <c r="S116" s="14"/>
    </row>
    <row r="117" spans="4:19" ht="12" customHeight="1">
      <c r="D117" s="15" t="s">
        <v>191</v>
      </c>
      <c r="E117" s="16" t="s">
        <v>192</v>
      </c>
      <c r="F117" s="17" t="s">
        <v>79</v>
      </c>
      <c r="G117" s="18">
        <f t="shared" ref="G117:G148" si="4">SUM(H117:K117)</f>
        <v>267916.875</v>
      </c>
      <c r="H117" s="18">
        <f>SUM(H118,H119)</f>
        <v>53688.544999999998</v>
      </c>
      <c r="I117" s="18">
        <f>SUM(I118,I119)</f>
        <v>0</v>
      </c>
      <c r="J117" s="18">
        <f>SUM(J118,J119)</f>
        <v>58991.255999999994</v>
      </c>
      <c r="K117" s="18">
        <f>SUM(K118,K119)</f>
        <v>155237.07400000002</v>
      </c>
      <c r="M117" s="14"/>
      <c r="N117" s="14"/>
      <c r="O117" s="14"/>
      <c r="P117" s="14"/>
      <c r="Q117" s="14"/>
      <c r="R117" s="14"/>
      <c r="S117" s="19" t="s">
        <v>80</v>
      </c>
    </row>
    <row r="118" spans="4:19" ht="12" customHeight="1">
      <c r="D118" s="20" t="s">
        <v>193</v>
      </c>
      <c r="E118" s="21" t="s">
        <v>31</v>
      </c>
      <c r="F118" s="8" t="s">
        <v>79</v>
      </c>
      <c r="G118" s="18">
        <f t="shared" si="4"/>
        <v>0</v>
      </c>
      <c r="H118" s="22"/>
      <c r="I118" s="22"/>
      <c r="J118" s="22"/>
      <c r="K118" s="22"/>
      <c r="M118" s="14"/>
      <c r="N118" s="14"/>
      <c r="O118" s="14"/>
      <c r="P118" s="14"/>
      <c r="Q118" s="14"/>
      <c r="R118" s="14"/>
      <c r="S118" s="19" t="s">
        <v>80</v>
      </c>
    </row>
    <row r="119" spans="4:19" ht="12" customHeight="1">
      <c r="D119" s="20" t="s">
        <v>194</v>
      </c>
      <c r="E119" s="21" t="s">
        <v>32</v>
      </c>
      <c r="F119" s="8" t="s">
        <v>79</v>
      </c>
      <c r="G119" s="18">
        <f t="shared" si="4"/>
        <v>267916.875</v>
      </c>
      <c r="H119" s="18">
        <f>H122</f>
        <v>53688.544999999998</v>
      </c>
      <c r="I119" s="18">
        <f>I122</f>
        <v>0</v>
      </c>
      <c r="J119" s="18">
        <f>J122</f>
        <v>58991.255999999994</v>
      </c>
      <c r="K119" s="18">
        <f>K122</f>
        <v>155237.07400000002</v>
      </c>
      <c r="M119" s="14"/>
      <c r="N119" s="14"/>
      <c r="O119" s="14"/>
      <c r="P119" s="14"/>
      <c r="Q119" s="14"/>
      <c r="R119" s="14"/>
      <c r="S119" s="19" t="s">
        <v>80</v>
      </c>
    </row>
    <row r="120" spans="4:19" ht="12" customHeight="1">
      <c r="D120" s="20" t="s">
        <v>195</v>
      </c>
      <c r="E120" s="34" t="s">
        <v>46</v>
      </c>
      <c r="F120" s="8" t="s">
        <v>152</v>
      </c>
      <c r="G120" s="18">
        <f t="shared" si="4"/>
        <v>58.89</v>
      </c>
      <c r="H120" s="22">
        <f>H113</f>
        <v>12.62</v>
      </c>
      <c r="I120" s="22"/>
      <c r="J120" s="22">
        <f>J113</f>
        <v>14.59</v>
      </c>
      <c r="K120" s="22">
        <f>K113</f>
        <v>31.68</v>
      </c>
      <c r="M120" s="14"/>
      <c r="N120" s="14"/>
      <c r="O120" s="14"/>
      <c r="P120" s="14"/>
      <c r="Q120" s="14"/>
      <c r="R120" s="14"/>
      <c r="S120" s="19" t="s">
        <v>80</v>
      </c>
    </row>
    <row r="121" spans="4:19" ht="12" customHeight="1">
      <c r="D121" s="20" t="s">
        <v>196</v>
      </c>
      <c r="E121" s="35" t="s">
        <v>197</v>
      </c>
      <c r="F121" s="8" t="s">
        <v>152</v>
      </c>
      <c r="G121" s="18">
        <f t="shared" si="4"/>
        <v>0</v>
      </c>
      <c r="H121" s="22"/>
      <c r="I121" s="22"/>
      <c r="J121" s="22"/>
      <c r="K121" s="22"/>
      <c r="M121" s="14"/>
      <c r="N121" s="14"/>
      <c r="O121" s="14"/>
      <c r="P121" s="14"/>
      <c r="Q121" s="14"/>
      <c r="R121" s="14"/>
      <c r="S121" s="19" t="s">
        <v>80</v>
      </c>
    </row>
    <row r="122" spans="4:19" ht="12" customHeight="1">
      <c r="D122" s="20" t="s">
        <v>198</v>
      </c>
      <c r="E122" s="34" t="s">
        <v>47</v>
      </c>
      <c r="F122" s="8" t="s">
        <v>79</v>
      </c>
      <c r="G122" s="18">
        <f t="shared" si="4"/>
        <v>267916.875</v>
      </c>
      <c r="H122" s="22">
        <f>H41</f>
        <v>53688.544999999998</v>
      </c>
      <c r="I122" s="22"/>
      <c r="J122" s="22">
        <f>J41</f>
        <v>58991.255999999994</v>
      </c>
      <c r="K122" s="22">
        <f>K41</f>
        <v>155237.07400000002</v>
      </c>
      <c r="M122" s="14"/>
      <c r="N122" s="14"/>
      <c r="O122" s="14"/>
      <c r="P122" s="14"/>
      <c r="Q122" s="14"/>
      <c r="R122" s="14"/>
      <c r="S122" s="19" t="s">
        <v>80</v>
      </c>
    </row>
    <row r="123" spans="4:19" ht="12" customHeight="1">
      <c r="D123" s="15" t="s">
        <v>199</v>
      </c>
      <c r="E123" s="16" t="s">
        <v>200</v>
      </c>
      <c r="F123" s="17" t="s">
        <v>79</v>
      </c>
      <c r="G123" s="18">
        <f t="shared" si="4"/>
        <v>267916.875</v>
      </c>
      <c r="H123" s="18">
        <f>SUM(H124,H140)</f>
        <v>53688.544999999998</v>
      </c>
      <c r="I123" s="18">
        <f>SUM(I124,I140)</f>
        <v>0</v>
      </c>
      <c r="J123" s="18">
        <f>SUM(J124,J140)</f>
        <v>58991.255999999994</v>
      </c>
      <c r="K123" s="18">
        <f>SUM(K124,K140)</f>
        <v>155237.07400000002</v>
      </c>
      <c r="M123" s="14"/>
      <c r="N123" s="14"/>
      <c r="O123" s="14"/>
      <c r="P123" s="14"/>
      <c r="Q123" s="14"/>
      <c r="R123" s="14"/>
      <c r="S123" s="19" t="s">
        <v>80</v>
      </c>
    </row>
    <row r="124" spans="4:19" ht="12" customHeight="1">
      <c r="D124" s="20" t="s">
        <v>201</v>
      </c>
      <c r="E124" s="21" t="s">
        <v>33</v>
      </c>
      <c r="F124" s="8" t="s">
        <v>79</v>
      </c>
      <c r="G124" s="18">
        <f t="shared" si="4"/>
        <v>0</v>
      </c>
      <c r="H124" s="18">
        <f>SUM(H125:H126)</f>
        <v>0</v>
      </c>
      <c r="I124" s="18">
        <f>SUM(I125:I126)</f>
        <v>0</v>
      </c>
      <c r="J124" s="18">
        <f>SUM(J125:J126)</f>
        <v>0</v>
      </c>
      <c r="K124" s="18">
        <f>SUM(K125:K126)</f>
        <v>0</v>
      </c>
      <c r="M124" s="14"/>
      <c r="N124" s="14"/>
      <c r="O124" s="14"/>
      <c r="P124" s="14"/>
      <c r="Q124" s="14"/>
      <c r="R124" s="14"/>
      <c r="S124" s="19" t="s">
        <v>80</v>
      </c>
    </row>
    <row r="125" spans="4:19" ht="12" customHeight="1">
      <c r="D125" s="20" t="s">
        <v>202</v>
      </c>
      <c r="E125" s="34" t="s">
        <v>34</v>
      </c>
      <c r="F125" s="8" t="s">
        <v>79</v>
      </c>
      <c r="G125" s="18">
        <f t="shared" si="4"/>
        <v>0</v>
      </c>
      <c r="H125" s="22"/>
      <c r="I125" s="22"/>
      <c r="J125" s="22"/>
      <c r="K125" s="22"/>
      <c r="M125" s="14"/>
      <c r="N125" s="14"/>
      <c r="O125" s="14"/>
      <c r="P125" s="14"/>
      <c r="Q125" s="14"/>
      <c r="R125" s="14"/>
      <c r="S125" s="19" t="s">
        <v>80</v>
      </c>
    </row>
    <row r="126" spans="4:19" ht="12" customHeight="1">
      <c r="D126" s="20" t="s">
        <v>203</v>
      </c>
      <c r="E126" s="34" t="s">
        <v>35</v>
      </c>
      <c r="F126" s="8" t="s">
        <v>79</v>
      </c>
      <c r="G126" s="18">
        <f t="shared" si="4"/>
        <v>0</v>
      </c>
      <c r="H126" s="18">
        <f>SUM(H127,H130,H133,H136:H139)</f>
        <v>0</v>
      </c>
      <c r="I126" s="18">
        <f>SUM(I127,I130,I133,I136:I139)</f>
        <v>0</v>
      </c>
      <c r="J126" s="18">
        <f>SUM(J127,J130,J133,J136:J139)</f>
        <v>0</v>
      </c>
      <c r="K126" s="18">
        <f>SUM(K127,K130,K133,K136:K139)</f>
        <v>0</v>
      </c>
      <c r="M126" s="14"/>
      <c r="N126" s="14"/>
      <c r="O126" s="14"/>
      <c r="P126" s="14"/>
      <c r="Q126" s="14"/>
      <c r="R126" s="14"/>
      <c r="S126" s="19" t="s">
        <v>80</v>
      </c>
    </row>
    <row r="127" spans="4:19" ht="36" customHeight="1">
      <c r="D127" s="20" t="s">
        <v>204</v>
      </c>
      <c r="E127" s="35" t="s">
        <v>36</v>
      </c>
      <c r="F127" s="8" t="s">
        <v>79</v>
      </c>
      <c r="G127" s="18">
        <f t="shared" si="4"/>
        <v>0</v>
      </c>
      <c r="H127" s="18">
        <f>SUM(H128:H129)</f>
        <v>0</v>
      </c>
      <c r="I127" s="18">
        <f>SUM(I128:I129)</f>
        <v>0</v>
      </c>
      <c r="J127" s="18">
        <f>SUM(J128:J129)</f>
        <v>0</v>
      </c>
      <c r="K127" s="18">
        <f>SUM(K128:K129)</f>
        <v>0</v>
      </c>
      <c r="M127" s="14"/>
      <c r="N127" s="14"/>
      <c r="O127" s="14"/>
      <c r="P127" s="14"/>
      <c r="Q127" s="14"/>
      <c r="R127" s="14"/>
      <c r="S127" s="19" t="s">
        <v>80</v>
      </c>
    </row>
    <row r="128" spans="4:19" ht="12" customHeight="1">
      <c r="D128" s="20" t="s">
        <v>205</v>
      </c>
      <c r="E128" s="36" t="s">
        <v>37</v>
      </c>
      <c r="F128" s="8" t="s">
        <v>79</v>
      </c>
      <c r="G128" s="18">
        <f t="shared" si="4"/>
        <v>0</v>
      </c>
      <c r="H128" s="22"/>
      <c r="I128" s="22"/>
      <c r="J128" s="22"/>
      <c r="K128" s="22"/>
      <c r="M128" s="14"/>
      <c r="N128" s="14"/>
      <c r="O128" s="14"/>
      <c r="P128" s="14"/>
      <c r="Q128" s="14"/>
      <c r="R128" s="14"/>
      <c r="S128" s="19" t="s">
        <v>80</v>
      </c>
    </row>
    <row r="129" spans="4:19" ht="12" customHeight="1">
      <c r="D129" s="20" t="s">
        <v>206</v>
      </c>
      <c r="E129" s="36" t="s">
        <v>38</v>
      </c>
      <c r="F129" s="8" t="s">
        <v>79</v>
      </c>
      <c r="G129" s="18">
        <f t="shared" si="4"/>
        <v>0</v>
      </c>
      <c r="H129" s="22"/>
      <c r="I129" s="22"/>
      <c r="J129" s="22"/>
      <c r="K129" s="22"/>
      <c r="M129" s="14"/>
      <c r="N129" s="14"/>
      <c r="O129" s="14"/>
      <c r="P129" s="14"/>
      <c r="Q129" s="14"/>
      <c r="R129" s="14"/>
      <c r="S129" s="19" t="s">
        <v>80</v>
      </c>
    </row>
    <row r="130" spans="4:19" ht="36" customHeight="1">
      <c r="D130" s="20" t="s">
        <v>207</v>
      </c>
      <c r="E130" s="35" t="s">
        <v>39</v>
      </c>
      <c r="F130" s="8" t="s">
        <v>79</v>
      </c>
      <c r="G130" s="18">
        <f t="shared" si="4"/>
        <v>0</v>
      </c>
      <c r="H130" s="18">
        <f>SUM(H131:H132)</f>
        <v>0</v>
      </c>
      <c r="I130" s="18">
        <f>SUM(I131:I132)</f>
        <v>0</v>
      </c>
      <c r="J130" s="18">
        <f>SUM(J131:J132)</f>
        <v>0</v>
      </c>
      <c r="K130" s="18">
        <f>SUM(K131:K132)</f>
        <v>0</v>
      </c>
      <c r="M130" s="14"/>
      <c r="N130" s="14"/>
      <c r="O130" s="14"/>
      <c r="P130" s="14"/>
      <c r="Q130" s="14"/>
      <c r="R130" s="14"/>
      <c r="S130" s="19" t="s">
        <v>80</v>
      </c>
    </row>
    <row r="131" spans="4:19" ht="12" customHeight="1">
      <c r="D131" s="20" t="s">
        <v>208</v>
      </c>
      <c r="E131" s="36" t="s">
        <v>37</v>
      </c>
      <c r="F131" s="8" t="s">
        <v>79</v>
      </c>
      <c r="G131" s="18">
        <f t="shared" si="4"/>
        <v>0</v>
      </c>
      <c r="H131" s="22"/>
      <c r="I131" s="22"/>
      <c r="J131" s="22"/>
      <c r="K131" s="22"/>
      <c r="M131" s="14"/>
      <c r="N131" s="14"/>
      <c r="O131" s="14"/>
      <c r="P131" s="14"/>
      <c r="Q131" s="14"/>
      <c r="R131" s="14"/>
      <c r="S131" s="19" t="s">
        <v>80</v>
      </c>
    </row>
    <row r="132" spans="4:19" ht="12" customHeight="1">
      <c r="D132" s="20" t="s">
        <v>209</v>
      </c>
      <c r="E132" s="36" t="s">
        <v>38</v>
      </c>
      <c r="F132" s="8" t="s">
        <v>79</v>
      </c>
      <c r="G132" s="18">
        <f t="shared" si="4"/>
        <v>0</v>
      </c>
      <c r="H132" s="22"/>
      <c r="I132" s="22"/>
      <c r="J132" s="22"/>
      <c r="K132" s="22"/>
      <c r="M132" s="14"/>
      <c r="N132" s="14"/>
      <c r="O132" s="14"/>
      <c r="P132" s="14"/>
      <c r="Q132" s="14"/>
      <c r="R132" s="14"/>
      <c r="S132" s="19" t="s">
        <v>80</v>
      </c>
    </row>
    <row r="133" spans="4:19" ht="24" customHeight="1">
      <c r="D133" s="20" t="s">
        <v>210</v>
      </c>
      <c r="E133" s="35" t="s">
        <v>40</v>
      </c>
      <c r="F133" s="8" t="s">
        <v>79</v>
      </c>
      <c r="G133" s="18">
        <f t="shared" si="4"/>
        <v>0</v>
      </c>
      <c r="H133" s="18">
        <f>SUM(H134:H135)</f>
        <v>0</v>
      </c>
      <c r="I133" s="18">
        <f>SUM(I134:I135)</f>
        <v>0</v>
      </c>
      <c r="J133" s="18">
        <f>SUM(J134:J135)</f>
        <v>0</v>
      </c>
      <c r="K133" s="18">
        <f>SUM(K134:K135)</f>
        <v>0</v>
      </c>
      <c r="M133" s="14"/>
      <c r="N133" s="14"/>
      <c r="O133" s="14"/>
      <c r="P133" s="14"/>
      <c r="Q133" s="14"/>
      <c r="R133" s="14"/>
      <c r="S133" s="19" t="s">
        <v>80</v>
      </c>
    </row>
    <row r="134" spans="4:19" ht="12" customHeight="1">
      <c r="D134" s="20" t="s">
        <v>211</v>
      </c>
      <c r="E134" s="36" t="s">
        <v>37</v>
      </c>
      <c r="F134" s="8" t="s">
        <v>79</v>
      </c>
      <c r="G134" s="18">
        <f t="shared" si="4"/>
        <v>0</v>
      </c>
      <c r="H134" s="22"/>
      <c r="I134" s="22"/>
      <c r="J134" s="22"/>
      <c r="K134" s="22"/>
      <c r="M134" s="14"/>
      <c r="N134" s="14"/>
      <c r="O134" s="14"/>
      <c r="P134" s="14"/>
      <c r="Q134" s="14"/>
      <c r="R134" s="14"/>
      <c r="S134" s="19" t="s">
        <v>80</v>
      </c>
    </row>
    <row r="135" spans="4:19" ht="12" customHeight="1">
      <c r="D135" s="20" t="s">
        <v>212</v>
      </c>
      <c r="E135" s="36" t="s">
        <v>38</v>
      </c>
      <c r="F135" s="8" t="s">
        <v>79</v>
      </c>
      <c r="G135" s="18">
        <f t="shared" si="4"/>
        <v>0</v>
      </c>
      <c r="H135" s="22"/>
      <c r="I135" s="22"/>
      <c r="J135" s="22"/>
      <c r="K135" s="22"/>
      <c r="M135" s="14"/>
      <c r="N135" s="14"/>
      <c r="O135" s="14"/>
      <c r="P135" s="14"/>
      <c r="Q135" s="14"/>
      <c r="R135" s="14"/>
      <c r="S135" s="19" t="s">
        <v>80</v>
      </c>
    </row>
    <row r="136" spans="4:19" ht="12" customHeight="1">
      <c r="D136" s="20" t="s">
        <v>213</v>
      </c>
      <c r="E136" s="35" t="s">
        <v>41</v>
      </c>
      <c r="F136" s="8" t="s">
        <v>79</v>
      </c>
      <c r="G136" s="18">
        <f t="shared" si="4"/>
        <v>0</v>
      </c>
      <c r="H136" s="22"/>
      <c r="I136" s="22"/>
      <c r="J136" s="22"/>
      <c r="K136" s="22"/>
      <c r="M136" s="14"/>
      <c r="N136" s="14"/>
      <c r="O136" s="14"/>
      <c r="P136" s="14"/>
      <c r="Q136" s="14"/>
      <c r="R136" s="14"/>
      <c r="S136" s="19" t="s">
        <v>80</v>
      </c>
    </row>
    <row r="137" spans="4:19" ht="12" customHeight="1">
      <c r="D137" s="20" t="s">
        <v>214</v>
      </c>
      <c r="E137" s="35" t="s">
        <v>42</v>
      </c>
      <c r="F137" s="8" t="s">
        <v>79</v>
      </c>
      <c r="G137" s="18">
        <f t="shared" si="4"/>
        <v>0</v>
      </c>
      <c r="H137" s="22"/>
      <c r="I137" s="22"/>
      <c r="J137" s="22"/>
      <c r="K137" s="22"/>
      <c r="M137" s="14"/>
      <c r="N137" s="14"/>
      <c r="O137" s="14"/>
      <c r="P137" s="14"/>
      <c r="Q137" s="14"/>
      <c r="R137" s="14"/>
      <c r="S137" s="19" t="s">
        <v>80</v>
      </c>
    </row>
    <row r="138" spans="4:19" ht="36" customHeight="1">
      <c r="D138" s="20" t="s">
        <v>215</v>
      </c>
      <c r="E138" s="35" t="s">
        <v>43</v>
      </c>
      <c r="F138" s="8" t="s">
        <v>79</v>
      </c>
      <c r="G138" s="18">
        <f t="shared" si="4"/>
        <v>0</v>
      </c>
      <c r="H138" s="22"/>
      <c r="I138" s="22"/>
      <c r="J138" s="22"/>
      <c r="K138" s="22"/>
      <c r="M138" s="14"/>
      <c r="N138" s="14"/>
      <c r="O138" s="14"/>
      <c r="P138" s="14"/>
      <c r="Q138" s="14"/>
      <c r="R138" s="14"/>
      <c r="S138" s="19" t="s">
        <v>80</v>
      </c>
    </row>
    <row r="139" spans="4:19" ht="24" customHeight="1">
      <c r="D139" s="20" t="s">
        <v>216</v>
      </c>
      <c r="E139" s="35" t="s">
        <v>44</v>
      </c>
      <c r="F139" s="8" t="s">
        <v>79</v>
      </c>
      <c r="G139" s="18">
        <f t="shared" si="4"/>
        <v>0</v>
      </c>
      <c r="H139" s="22"/>
      <c r="I139" s="22"/>
      <c r="J139" s="22"/>
      <c r="K139" s="22"/>
      <c r="M139" s="14"/>
      <c r="N139" s="14"/>
      <c r="O139" s="14"/>
      <c r="P139" s="14"/>
      <c r="Q139" s="14"/>
      <c r="R139" s="14"/>
      <c r="S139" s="19" t="s">
        <v>80</v>
      </c>
    </row>
    <row r="140" spans="4:19" ht="12" customHeight="1">
      <c r="D140" s="20" t="s">
        <v>217</v>
      </c>
      <c r="E140" s="21" t="s">
        <v>45</v>
      </c>
      <c r="F140" s="8" t="s">
        <v>79</v>
      </c>
      <c r="G140" s="18">
        <f t="shared" si="4"/>
        <v>267916.875</v>
      </c>
      <c r="H140" s="18">
        <f>H143</f>
        <v>53688.544999999998</v>
      </c>
      <c r="I140" s="18">
        <f>I143</f>
        <v>0</v>
      </c>
      <c r="J140" s="18">
        <f>J143</f>
        <v>58991.255999999994</v>
      </c>
      <c r="K140" s="18">
        <f>K143</f>
        <v>155237.07400000002</v>
      </c>
      <c r="M140" s="14"/>
      <c r="N140" s="14"/>
      <c r="O140" s="14"/>
      <c r="P140" s="14"/>
      <c r="Q140" s="14"/>
      <c r="R140" s="14"/>
      <c r="S140" s="19" t="s">
        <v>80</v>
      </c>
    </row>
    <row r="141" spans="4:19" ht="12" customHeight="1">
      <c r="D141" s="20" t="s">
        <v>218</v>
      </c>
      <c r="E141" s="34" t="s">
        <v>46</v>
      </c>
      <c r="F141" s="8" t="s">
        <v>152</v>
      </c>
      <c r="G141" s="18">
        <f t="shared" si="4"/>
        <v>58.89</v>
      </c>
      <c r="H141" s="22">
        <f>H113</f>
        <v>12.62</v>
      </c>
      <c r="I141" s="22"/>
      <c r="J141" s="22">
        <f>J113</f>
        <v>14.59</v>
      </c>
      <c r="K141" s="22">
        <f>K113</f>
        <v>31.68</v>
      </c>
      <c r="M141" s="14"/>
      <c r="N141" s="14"/>
      <c r="O141" s="14"/>
      <c r="P141" s="14"/>
      <c r="Q141" s="14"/>
      <c r="R141" s="14"/>
      <c r="S141" s="19" t="s">
        <v>80</v>
      </c>
    </row>
    <row r="142" spans="4:19" ht="12" customHeight="1">
      <c r="D142" s="20" t="s">
        <v>219</v>
      </c>
      <c r="E142" s="35" t="s">
        <v>197</v>
      </c>
      <c r="F142" s="8" t="s">
        <v>152</v>
      </c>
      <c r="G142" s="18">
        <f t="shared" si="4"/>
        <v>0</v>
      </c>
      <c r="H142" s="22"/>
      <c r="I142" s="22"/>
      <c r="J142" s="22"/>
      <c r="K142" s="22"/>
      <c r="M142" s="14"/>
      <c r="N142" s="14"/>
      <c r="O142" s="14"/>
      <c r="P142" s="14"/>
      <c r="Q142" s="14"/>
      <c r="R142" s="14"/>
      <c r="S142" s="19" t="s">
        <v>80</v>
      </c>
    </row>
    <row r="143" spans="4:19" ht="12" customHeight="1">
      <c r="D143" s="20" t="s">
        <v>220</v>
      </c>
      <c r="E143" s="34" t="s">
        <v>47</v>
      </c>
      <c r="F143" s="8" t="s">
        <v>79</v>
      </c>
      <c r="G143" s="18">
        <f t="shared" si="4"/>
        <v>267916.875</v>
      </c>
      <c r="H143" s="22">
        <f>H41</f>
        <v>53688.544999999998</v>
      </c>
      <c r="I143" s="22"/>
      <c r="J143" s="22">
        <f>J41</f>
        <v>58991.255999999994</v>
      </c>
      <c r="K143" s="22">
        <f>K41</f>
        <v>155237.07400000002</v>
      </c>
      <c r="M143" s="14"/>
      <c r="N143" s="14"/>
      <c r="O143" s="14"/>
      <c r="P143" s="14"/>
      <c r="Q143" s="14"/>
      <c r="R143" s="14"/>
      <c r="S143" s="19" t="s">
        <v>80</v>
      </c>
    </row>
    <row r="144" spans="4:19" ht="12" customHeight="1">
      <c r="D144" s="15" t="s">
        <v>221</v>
      </c>
      <c r="E144" s="16" t="s">
        <v>222</v>
      </c>
      <c r="F144" s="17" t="s">
        <v>79</v>
      </c>
      <c r="G144" s="18">
        <f t="shared" si="4"/>
        <v>267916.875</v>
      </c>
      <c r="H144" s="18">
        <f>SUM(H145,H146)</f>
        <v>53688.544999999998</v>
      </c>
      <c r="I144" s="18">
        <f>SUM(I145,I146)</f>
        <v>0</v>
      </c>
      <c r="J144" s="18">
        <f>SUM(J145,J146)</f>
        <v>58991.255999999994</v>
      </c>
      <c r="K144" s="18">
        <f>SUM(K145,K146)</f>
        <v>155237.07400000002</v>
      </c>
      <c r="M144" s="14"/>
      <c r="N144" s="14"/>
      <c r="O144" s="14"/>
      <c r="P144" s="14"/>
      <c r="Q144" s="14"/>
      <c r="R144" s="14"/>
      <c r="S144" s="19" t="s">
        <v>80</v>
      </c>
    </row>
    <row r="145" spans="4:19" ht="12" customHeight="1">
      <c r="D145" s="20" t="s">
        <v>223</v>
      </c>
      <c r="E145" s="21" t="s">
        <v>31</v>
      </c>
      <c r="F145" s="8" t="s">
        <v>79</v>
      </c>
      <c r="G145" s="18">
        <f t="shared" si="4"/>
        <v>0</v>
      </c>
      <c r="H145" s="22"/>
      <c r="I145" s="22"/>
      <c r="J145" s="22"/>
      <c r="K145" s="22"/>
      <c r="M145" s="14"/>
      <c r="N145" s="14"/>
      <c r="O145" s="14"/>
      <c r="P145" s="14"/>
      <c r="Q145" s="14"/>
      <c r="R145" s="14"/>
      <c r="S145" s="19" t="s">
        <v>80</v>
      </c>
    </row>
    <row r="146" spans="4:19" ht="12" customHeight="1">
      <c r="D146" s="20" t="s">
        <v>224</v>
      </c>
      <c r="E146" s="21" t="s">
        <v>32</v>
      </c>
      <c r="F146" s="8" t="s">
        <v>79</v>
      </c>
      <c r="G146" s="18">
        <f t="shared" si="4"/>
        <v>267916.875</v>
      </c>
      <c r="H146" s="18">
        <f>H148</f>
        <v>53688.544999999998</v>
      </c>
      <c r="I146" s="18">
        <f>I148</f>
        <v>0</v>
      </c>
      <c r="J146" s="18">
        <f>J148</f>
        <v>58991.255999999994</v>
      </c>
      <c r="K146" s="18">
        <f>K148</f>
        <v>155237.07400000002</v>
      </c>
      <c r="M146" s="14"/>
      <c r="N146" s="14"/>
      <c r="O146" s="14"/>
      <c r="P146" s="14"/>
      <c r="Q146" s="14"/>
      <c r="R146" s="14"/>
      <c r="S146" s="19" t="s">
        <v>80</v>
      </c>
    </row>
    <row r="147" spans="4:19" ht="12" customHeight="1">
      <c r="D147" s="20" t="s">
        <v>225</v>
      </c>
      <c r="E147" s="34" t="s">
        <v>48</v>
      </c>
      <c r="F147" s="8" t="s">
        <v>152</v>
      </c>
      <c r="G147" s="18">
        <f t="shared" si="4"/>
        <v>58.89</v>
      </c>
      <c r="H147" s="22">
        <f>H113</f>
        <v>12.62</v>
      </c>
      <c r="I147" s="22"/>
      <c r="J147" s="22">
        <f>J113</f>
        <v>14.59</v>
      </c>
      <c r="K147" s="22">
        <f>K113</f>
        <v>31.68</v>
      </c>
      <c r="M147" s="14"/>
      <c r="N147" s="14"/>
      <c r="O147" s="14"/>
      <c r="P147" s="14"/>
      <c r="Q147" s="14"/>
      <c r="R147" s="14"/>
      <c r="S147" s="19" t="s">
        <v>80</v>
      </c>
    </row>
    <row r="148" spans="4:19" ht="12" customHeight="1">
      <c r="D148" s="20" t="s">
        <v>226</v>
      </c>
      <c r="E148" s="34" t="s">
        <v>47</v>
      </c>
      <c r="F148" s="8" t="s">
        <v>79</v>
      </c>
      <c r="G148" s="18">
        <f t="shared" si="4"/>
        <v>267916.875</v>
      </c>
      <c r="H148" s="22">
        <f>H41</f>
        <v>53688.544999999998</v>
      </c>
      <c r="I148" s="22"/>
      <c r="J148" s="22">
        <f>J41</f>
        <v>58991.255999999994</v>
      </c>
      <c r="K148" s="22">
        <f>K41</f>
        <v>155237.07400000002</v>
      </c>
      <c r="M148" s="14"/>
      <c r="N148" s="14"/>
      <c r="O148" s="14"/>
      <c r="P148" s="14"/>
      <c r="Q148" s="14"/>
      <c r="R148" s="14"/>
      <c r="S148" s="19" t="s">
        <v>80</v>
      </c>
    </row>
    <row r="149" spans="4:19" ht="18" customHeight="1">
      <c r="D149" s="10" t="s">
        <v>227</v>
      </c>
      <c r="E149" s="11"/>
      <c r="F149" s="11"/>
      <c r="G149" s="12"/>
      <c r="H149" s="12"/>
      <c r="I149" s="12"/>
      <c r="J149" s="12"/>
      <c r="K149" s="13"/>
      <c r="M149" s="14"/>
      <c r="N149" s="14"/>
      <c r="O149" s="14"/>
      <c r="P149" s="14"/>
      <c r="Q149" s="14"/>
      <c r="R149" s="14"/>
      <c r="S149" s="14"/>
    </row>
    <row r="150" spans="4:19" ht="12" customHeight="1">
      <c r="D150" s="20" t="s">
        <v>229</v>
      </c>
      <c r="E150" s="21" t="s">
        <v>32</v>
      </c>
      <c r="F150" s="8" t="s">
        <v>228</v>
      </c>
      <c r="G150" s="18">
        <f t="shared" ref="G150:G152" si="5">SUM(H150:K150)</f>
        <v>591153.04616201995</v>
      </c>
      <c r="H150" s="18">
        <f>SUM(H151:H152)</f>
        <v>124086.99445325999</v>
      </c>
      <c r="I150" s="18">
        <f>SUM(I151:I152)</f>
        <v>0</v>
      </c>
      <c r="J150" s="18">
        <f>SUM(J151:J152)</f>
        <v>141312.35969279998</v>
      </c>
      <c r="K150" s="18">
        <f>SUM(K151:K152)</f>
        <v>325753.69201596</v>
      </c>
      <c r="M150" s="14"/>
      <c r="N150" s="14"/>
      <c r="O150" s="14"/>
      <c r="P150" s="14"/>
      <c r="Q150" s="14"/>
      <c r="R150" s="14"/>
      <c r="S150" s="19" t="s">
        <v>80</v>
      </c>
    </row>
    <row r="151" spans="4:19" ht="12" customHeight="1">
      <c r="D151" s="20" t="s">
        <v>230</v>
      </c>
      <c r="E151" s="34" t="s">
        <v>48</v>
      </c>
      <c r="F151" s="8" t="s">
        <v>228</v>
      </c>
      <c r="G151" s="18">
        <f t="shared" si="5"/>
        <v>404473.92599952</v>
      </c>
      <c r="H151" s="22">
        <f>((H147*476.96497)+(H147*476.96497)*20/100)*12</f>
        <v>86677.890068159992</v>
      </c>
      <c r="I151" s="22"/>
      <c r="J151" s="22">
        <f>((J147*476.96497)+(J147*476.96497)*20/100)*12</f>
        <v>100208.43233711999</v>
      </c>
      <c r="K151" s="22">
        <f>((K147*476.96497)+(K147*476.96497)*20/100)*12</f>
        <v>217587.60359424</v>
      </c>
      <c r="M151" s="14"/>
      <c r="N151" s="14"/>
      <c r="O151" s="14"/>
      <c r="P151" s="14"/>
      <c r="Q151" s="14"/>
      <c r="R151" s="14"/>
      <c r="S151" s="19" t="s">
        <v>80</v>
      </c>
    </row>
    <row r="152" spans="4:19" ht="12" customHeight="1">
      <c r="D152" s="20" t="s">
        <v>231</v>
      </c>
      <c r="E152" s="34" t="s">
        <v>47</v>
      </c>
      <c r="F152" s="8" t="s">
        <v>228</v>
      </c>
      <c r="G152" s="18">
        <f t="shared" si="5"/>
        <v>186679.12016250001</v>
      </c>
      <c r="H152" s="22">
        <f>(H148*0.58065)+(H148*0.58065)*20/100</f>
        <v>37409.104385099999</v>
      </c>
      <c r="I152" s="22"/>
      <c r="J152" s="22">
        <f>(J148*0.58065)+(J148*0.58065)*20/100</f>
        <v>41103.927355679989</v>
      </c>
      <c r="K152" s="22">
        <f>(K148*0.58065)+(K148*0.58065)*20/100</f>
        <v>108166.08842172002</v>
      </c>
      <c r="M152" s="14"/>
      <c r="N152" s="14"/>
      <c r="O152" s="14"/>
      <c r="P152" s="14"/>
      <c r="Q152" s="14"/>
      <c r="R152" s="14"/>
      <c r="S152" s="19" t="s">
        <v>80</v>
      </c>
    </row>
    <row r="155" spans="4:19" ht="10.5" customHeight="1">
      <c r="D155" s="37" t="s">
        <v>232</v>
      </c>
      <c r="E155" s="37"/>
      <c r="F155" s="37"/>
      <c r="G155" s="37"/>
      <c r="H155" s="37"/>
      <c r="I155" s="37"/>
      <c r="J155" s="37"/>
      <c r="K155" s="37"/>
    </row>
    <row r="156" spans="4:19" ht="17.25" customHeight="1">
      <c r="D156" s="38" t="s">
        <v>51</v>
      </c>
      <c r="E156" s="38"/>
      <c r="F156" s="39">
        <v>8637987.25</v>
      </c>
      <c r="G156" s="39"/>
      <c r="H156" s="39"/>
      <c r="I156" s="39">
        <v>36792184.909999996</v>
      </c>
      <c r="J156" s="39">
        <f>F156/2</f>
        <v>4318993.625</v>
      </c>
      <c r="K156" s="39">
        <f>F156/2</f>
        <v>4318993.625</v>
      </c>
    </row>
  </sheetData>
  <mergeCells count="12">
    <mergeCell ref="D155:K155"/>
    <mergeCell ref="D156:E156"/>
    <mergeCell ref="D14:F14"/>
    <mergeCell ref="D64:F64"/>
    <mergeCell ref="D112:F112"/>
    <mergeCell ref="D116:F116"/>
    <mergeCell ref="D149:F149"/>
    <mergeCell ref="D11:D12"/>
    <mergeCell ref="E11:E12"/>
    <mergeCell ref="F11:F12"/>
    <mergeCell ref="G11:G12"/>
    <mergeCell ref="H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2024-02-01T04:29:28Z</dcterms:modified>
</cp:coreProperties>
</file>